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drawings/drawing3.xml" ContentType="application/vnd.openxmlformats-officedocument.drawing+xml"/>
  <Override PartName="/xl/comments4.xml" ContentType="application/vnd.openxmlformats-officedocument.spreadsheetml.comments+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drawings/drawing8.xml" ContentType="application/vnd.openxmlformats-officedocument.drawing+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Override PartName="/xl/threadedComments/threadedComment2.xml" ContentType="application/vnd.ms-excel.threadedcomments+xml"/>
  <Override PartName="/xl/threadedComments/threadedComment3.xml" ContentType="application/vnd.ms-excel.threadedcomments+xml"/>
  <Override PartName="/xl/threadedComments/threadedComment4.xml" ContentType="application/vnd.ms-excel.threadedcomments+xml"/>
  <Override PartName="/xl/threadedComments/threadedComment5.xml" ContentType="application/vnd.ms-excel.threadedcomments+xml"/>
  <Override PartName="/xl/threadedComments/threadedComment6.xml" ContentType="application/vnd.ms-excel.threadedcomments+xml"/>
  <Override PartName="/xl/threadedComments/threadedComment7.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D:\BadretdinovMA\Desktop\Биотех и проект по стройблокам\Валидация\Версия от 22.06.2026\"/>
    </mc:Choice>
  </mc:AlternateContent>
  <xr:revisionPtr revIDLastSave="0" documentId="13_ncr:1_{227611FC-7643-4F25-934B-5F7477FF7897}" xr6:coauthVersionLast="36" xr6:coauthVersionMax="47" xr10:uidLastSave="{00000000-0000-0000-0000-000000000000}"/>
  <bookViews>
    <workbookView xWindow="31080" yWindow="225" windowWidth="22725" windowHeight="15315" firstSheet="2" activeTab="7" xr2:uid="{2AA2E929-1345-4123-9029-CE3D70A2F668}"/>
  </bookViews>
  <sheets>
    <sheet name="Результат климатического проект" sheetId="5" state="hidden" r:id="rId1"/>
    <sheet name="Мульчирование и сжигание (баз)" sheetId="3" state="hidden" r:id="rId2"/>
    <sheet name="BE_chippedwood,y" sheetId="6" r:id="rId3"/>
    <sheet name="PE_chippedwood,y" sheetId="7" r:id="rId4"/>
    <sheet name="ФЕ" sheetId="10" r:id="rId5"/>
    <sheet name="BE_materials" sheetId="9" r:id="rId6"/>
    <sheet name="PE_materials" sheetId="8" r:id="rId7"/>
    <sheet name="Результат" sheetId="11" r:id="rId8"/>
    <sheet name="Табл. З.1. ПТД" sheetId="12" r:id="rId9"/>
    <sheet name="Захоронение в полигоне (баз)" sheetId="1" state="hidden" r:id="rId10"/>
    <sheet name="Производство газобетона (баз)" sheetId="2" state="hidden" r:id="rId11"/>
    <sheet name="Производство арболита (пр)" sheetId="4" state="hidden" r:id="rId12"/>
  </sheets>
  <definedNames>
    <definedName name="_ftn1" localSheetId="5">BE_materials!$Y$5</definedName>
    <definedName name="_ftnref1" localSheetId="5">BE_materials!$Y$2</definedName>
    <definedName name="_Ref221815476" localSheetId="5">BE_materials!$Y$2</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5" i="6" l="1"/>
  <c r="C5" i="6"/>
  <c r="E39" i="8" l="1"/>
  <c r="F39" i="8"/>
  <c r="G39" i="8"/>
  <c r="H39" i="8"/>
  <c r="I39" i="8"/>
  <c r="J39" i="8"/>
  <c r="K39" i="8"/>
  <c r="L39" i="8"/>
  <c r="M39" i="8"/>
  <c r="N39" i="8"/>
  <c r="N17" i="8" s="1"/>
  <c r="O39" i="8"/>
  <c r="O17" i="8" s="1"/>
  <c r="P39" i="8"/>
  <c r="P17" i="8" s="1"/>
  <c r="Q39" i="8"/>
  <c r="R39" i="8"/>
  <c r="D39" i="8"/>
  <c r="D36" i="9"/>
  <c r="D35" i="9"/>
  <c r="D34" i="9"/>
  <c r="D33" i="9"/>
  <c r="D32" i="9"/>
  <c r="D24" i="9"/>
  <c r="D23" i="9"/>
  <c r="D17" i="9"/>
  <c r="D13" i="9"/>
  <c r="D11" i="9"/>
  <c r="D8" i="9"/>
  <c r="D6" i="9"/>
  <c r="D38" i="8"/>
  <c r="E17" i="9"/>
  <c r="F17" i="9"/>
  <c r="G17" i="9"/>
  <c r="H17" i="9"/>
  <c r="I17" i="9"/>
  <c r="J17" i="9"/>
  <c r="K17" i="9"/>
  <c r="L17" i="9"/>
  <c r="M17" i="9"/>
  <c r="N17" i="9"/>
  <c r="O17" i="9"/>
  <c r="P17" i="9"/>
  <c r="Q17" i="9"/>
  <c r="R17" i="9"/>
  <c r="E38" i="8"/>
  <c r="F38" i="8"/>
  <c r="G38" i="8"/>
  <c r="H38" i="8"/>
  <c r="I38" i="8"/>
  <c r="J38" i="8"/>
  <c r="K38" i="8"/>
  <c r="L38" i="8"/>
  <c r="L40" i="8" s="1"/>
  <c r="M38" i="8"/>
  <c r="N38" i="8"/>
  <c r="O38" i="8"/>
  <c r="P38" i="8"/>
  <c r="Q38" i="8"/>
  <c r="R38" i="8"/>
  <c r="D40" i="8"/>
  <c r="E17" i="8"/>
  <c r="F17" i="8"/>
  <c r="G17" i="8"/>
  <c r="H17" i="8"/>
  <c r="I17" i="8"/>
  <c r="J17" i="8"/>
  <c r="K17" i="8"/>
  <c r="L17" i="8"/>
  <c r="M17" i="8"/>
  <c r="Q17" i="8"/>
  <c r="R17" i="8"/>
  <c r="D17" i="8"/>
  <c r="F14" i="8"/>
  <c r="G14" i="8"/>
  <c r="H14" i="8" s="1"/>
  <c r="I14" i="8" s="1"/>
  <c r="J14" i="8" s="1"/>
  <c r="K14" i="8" s="1"/>
  <c r="L14" i="8" s="1"/>
  <c r="M14" i="8" s="1"/>
  <c r="N14" i="8" s="1"/>
  <c r="O14" i="8" s="1"/>
  <c r="P14" i="8" s="1"/>
  <c r="Q14" i="8" s="1"/>
  <c r="R14" i="8" s="1"/>
  <c r="E14" i="8"/>
  <c r="E13" i="8"/>
  <c r="F13" i="8"/>
  <c r="G13" i="8"/>
  <c r="H13" i="8"/>
  <c r="I13" i="8"/>
  <c r="J13" i="8"/>
  <c r="K13" i="8"/>
  <c r="L13" i="8"/>
  <c r="M13" i="8"/>
  <c r="N13" i="8"/>
  <c r="O13" i="8"/>
  <c r="P13" i="8"/>
  <c r="Q13" i="8"/>
  <c r="R13" i="8"/>
  <c r="D13" i="8"/>
  <c r="E48" i="4"/>
  <c r="D48" i="4"/>
  <c r="D47" i="4"/>
  <c r="B28" i="4"/>
  <c r="B26" i="4"/>
  <c r="E13" i="4"/>
  <c r="B13" i="4"/>
  <c r="B10" i="4"/>
  <c r="B20" i="4" s="1"/>
  <c r="J5" i="4"/>
  <c r="J6" i="4" s="1"/>
  <c r="J4" i="4"/>
  <c r="J5" i="2"/>
  <c r="J6" i="2" s="1"/>
  <c r="B10" i="2" s="1"/>
  <c r="J4" i="2"/>
  <c r="B22" i="1"/>
  <c r="A9" i="1"/>
  <c r="A10" i="1" s="1"/>
  <c r="A11" i="1" s="1"/>
  <c r="A12" i="1" s="1"/>
  <c r="A13" i="1" s="1"/>
  <c r="A14" i="1" s="1"/>
  <c r="A15" i="1" s="1"/>
  <c r="A16" i="1" s="1"/>
  <c r="A17" i="1" s="1"/>
  <c r="A18" i="1" s="1"/>
  <c r="A19" i="1" s="1"/>
  <c r="A20" i="1" s="1"/>
  <c r="A21" i="1" s="1"/>
  <c r="A8" i="1"/>
  <c r="A7" i="1"/>
  <c r="C6" i="1"/>
  <c r="C23" i="1" s="1"/>
  <c r="C5" i="1"/>
  <c r="D5" i="1" s="1"/>
  <c r="E1" i="11"/>
  <c r="F1" i="11" s="1"/>
  <c r="Q40" i="8"/>
  <c r="I40" i="8"/>
  <c r="R40" i="8"/>
  <c r="M40" i="8"/>
  <c r="K40" i="8"/>
  <c r="J40" i="8"/>
  <c r="H40" i="8"/>
  <c r="G40" i="8"/>
  <c r="F40" i="8"/>
  <c r="E40" i="8"/>
  <c r="R30" i="8"/>
  <c r="Q30" i="8"/>
  <c r="P30" i="8"/>
  <c r="O30" i="8"/>
  <c r="N30" i="8"/>
  <c r="M30" i="8"/>
  <c r="L30" i="8"/>
  <c r="K30" i="8"/>
  <c r="J30" i="8"/>
  <c r="I30" i="8"/>
  <c r="H30" i="8"/>
  <c r="G30" i="8"/>
  <c r="F30" i="8"/>
  <c r="E30" i="8"/>
  <c r="D30" i="8"/>
  <c r="R29" i="8"/>
  <c r="Q29" i="8"/>
  <c r="P29" i="8"/>
  <c r="O29" i="8"/>
  <c r="N29" i="8"/>
  <c r="M29" i="8"/>
  <c r="L29" i="8"/>
  <c r="K29" i="8"/>
  <c r="J29" i="8"/>
  <c r="I29" i="8"/>
  <c r="H29" i="8"/>
  <c r="G29" i="8"/>
  <c r="F29" i="8"/>
  <c r="E29" i="8"/>
  <c r="D29" i="8"/>
  <c r="R28" i="8"/>
  <c r="Q28" i="8"/>
  <c r="P28" i="8"/>
  <c r="O28" i="8"/>
  <c r="N28" i="8"/>
  <c r="M28" i="8"/>
  <c r="L28" i="8"/>
  <c r="K28" i="8"/>
  <c r="J28" i="8"/>
  <c r="I28" i="8"/>
  <c r="H28" i="8"/>
  <c r="G28" i="8"/>
  <c r="F28" i="8"/>
  <c r="E28" i="8"/>
  <c r="D28" i="8"/>
  <c r="W23" i="8"/>
  <c r="W18" i="8"/>
  <c r="W24" i="8" s="1"/>
  <c r="W17" i="8"/>
  <c r="W9" i="8"/>
  <c r="W15" i="8" s="1"/>
  <c r="W21" i="8" s="1"/>
  <c r="W5" i="8"/>
  <c r="W6" i="8" s="1"/>
  <c r="W8" i="8" s="1"/>
  <c r="W25" i="8" s="1"/>
  <c r="W29" i="8" s="1"/>
  <c r="D6" i="8" s="1"/>
  <c r="E6" i="8" s="1"/>
  <c r="F6" i="8" s="1"/>
  <c r="G6" i="8" s="1"/>
  <c r="R4" i="8"/>
  <c r="Q4" i="8"/>
  <c r="P4" i="8"/>
  <c r="O4" i="8"/>
  <c r="N4" i="8"/>
  <c r="M4" i="8"/>
  <c r="L4" i="8"/>
  <c r="K4" i="8"/>
  <c r="J4" i="8"/>
  <c r="I4" i="8"/>
  <c r="H4" i="8"/>
  <c r="G4" i="8"/>
  <c r="F4" i="8"/>
  <c r="E4" i="8"/>
  <c r="D4" i="8"/>
  <c r="E1" i="8"/>
  <c r="F1" i="8" s="1"/>
  <c r="G1" i="8" s="1"/>
  <c r="H1" i="8" s="1"/>
  <c r="I1" i="8" s="1"/>
  <c r="J1" i="8" s="1"/>
  <c r="K1" i="8" s="1"/>
  <c r="L1" i="8" s="1"/>
  <c r="M1" i="8" s="1"/>
  <c r="N1" i="8" s="1"/>
  <c r="O1" i="8" s="1"/>
  <c r="P1" i="8" s="1"/>
  <c r="Q1" i="8" s="1"/>
  <c r="R1" i="8" s="1"/>
  <c r="F39" i="9"/>
  <c r="G39" i="9" s="1"/>
  <c r="H39" i="9" s="1"/>
  <c r="I39" i="9" s="1"/>
  <c r="J39" i="9" s="1"/>
  <c r="K39" i="9" s="1"/>
  <c r="L39" i="9" s="1"/>
  <c r="M39" i="9" s="1"/>
  <c r="N39" i="9" s="1"/>
  <c r="O39" i="9" s="1"/>
  <c r="P39" i="9" s="1"/>
  <c r="Q39" i="9" s="1"/>
  <c r="R39" i="9" s="1"/>
  <c r="R30" i="9"/>
  <c r="Q30" i="9"/>
  <c r="P30" i="9"/>
  <c r="O30" i="9"/>
  <c r="N30" i="9"/>
  <c r="M30" i="9"/>
  <c r="L30" i="9"/>
  <c r="K30" i="9"/>
  <c r="J30" i="9"/>
  <c r="I30" i="9"/>
  <c r="H30" i="9"/>
  <c r="G30" i="9"/>
  <c r="F30" i="9"/>
  <c r="E30" i="9"/>
  <c r="D30" i="9"/>
  <c r="D20" i="9"/>
  <c r="F12" i="9"/>
  <c r="G12" i="9" s="1"/>
  <c r="H12" i="9" s="1"/>
  <c r="I12" i="9" s="1"/>
  <c r="J12" i="9" s="1"/>
  <c r="K12" i="9" s="1"/>
  <c r="L12" i="9" s="1"/>
  <c r="M12" i="9" s="1"/>
  <c r="N12" i="9" s="1"/>
  <c r="O12" i="9" s="1"/>
  <c r="P12" i="9" s="1"/>
  <c r="Q12" i="9" s="1"/>
  <c r="R12" i="9" s="1"/>
  <c r="W5" i="9"/>
  <c r="W4" i="9"/>
  <c r="E1" i="9"/>
  <c r="E20" i="9" s="1"/>
  <c r="Q16" i="10"/>
  <c r="Q14" i="10" s="1"/>
  <c r="P16" i="10"/>
  <c r="P14" i="10" s="1"/>
  <c r="N16" i="10"/>
  <c r="N14" i="10" s="1"/>
  <c r="E16" i="10"/>
  <c r="E14" i="10" s="1"/>
  <c r="D16" i="10"/>
  <c r="D14" i="10" s="1"/>
  <c r="R15" i="10"/>
  <c r="Q15" i="10"/>
  <c r="P15" i="10"/>
  <c r="O15" i="10"/>
  <c r="N15" i="10"/>
  <c r="M15" i="10"/>
  <c r="L15" i="10"/>
  <c r="K15" i="10"/>
  <c r="J15" i="10"/>
  <c r="I15" i="10"/>
  <c r="H15" i="10"/>
  <c r="G15" i="10"/>
  <c r="G16" i="10" s="1"/>
  <c r="G14" i="10" s="1"/>
  <c r="F15" i="10"/>
  <c r="E15" i="10"/>
  <c r="D15" i="10"/>
  <c r="Q10" i="10"/>
  <c r="P10" i="10"/>
  <c r="N10" i="10"/>
  <c r="G10" i="10"/>
  <c r="E10" i="10"/>
  <c r="D10" i="10"/>
  <c r="R9" i="10"/>
  <c r="Q9" i="10"/>
  <c r="P9" i="10"/>
  <c r="O9" i="10"/>
  <c r="N9" i="10"/>
  <c r="M9" i="10"/>
  <c r="L9" i="10"/>
  <c r="K9" i="10"/>
  <c r="J9" i="10"/>
  <c r="I9" i="10"/>
  <c r="H9" i="10"/>
  <c r="G9" i="10"/>
  <c r="G11" i="10" s="1"/>
  <c r="F9" i="10"/>
  <c r="E9" i="10"/>
  <c r="D9" i="10"/>
  <c r="X2" i="10"/>
  <c r="H2" i="10" s="1"/>
  <c r="Q2" i="10"/>
  <c r="P2" i="10"/>
  <c r="N2" i="10"/>
  <c r="M2" i="10"/>
  <c r="M16" i="10" s="1"/>
  <c r="M14" i="10" s="1"/>
  <c r="L2" i="10"/>
  <c r="K2" i="10"/>
  <c r="J2" i="10"/>
  <c r="I2" i="10"/>
  <c r="G2" i="10"/>
  <c r="E2" i="10"/>
  <c r="D2" i="10"/>
  <c r="E1" i="10"/>
  <c r="F1" i="10" s="1"/>
  <c r="G1" i="10" s="1"/>
  <c r="U5" i="7"/>
  <c r="U6" i="7" s="1"/>
  <c r="U3" i="7"/>
  <c r="D2" i="7"/>
  <c r="C2" i="7"/>
  <c r="U3" i="6"/>
  <c r="U5" i="6" s="1"/>
  <c r="D2" i="6"/>
  <c r="E2" i="6" s="1"/>
  <c r="F2" i="6" s="1"/>
  <c r="G2" i="6" s="1"/>
  <c r="H2" i="6" s="1"/>
  <c r="I2" i="6" s="1"/>
  <c r="J2" i="6" s="1"/>
  <c r="K2" i="6" s="1"/>
  <c r="L2" i="6" s="1"/>
  <c r="M2" i="6" s="1"/>
  <c r="N2" i="6" s="1"/>
  <c r="O2" i="6" s="1"/>
  <c r="P2" i="6" s="1"/>
  <c r="Q2" i="6" s="1"/>
  <c r="P20" i="3"/>
  <c r="B17" i="3"/>
  <c r="L11" i="3"/>
  <c r="K11" i="3"/>
  <c r="E11" i="3"/>
  <c r="C11" i="3"/>
  <c r="B11" i="3"/>
  <c r="Q9" i="3"/>
  <c r="Q11" i="3" s="1"/>
  <c r="L7" i="3"/>
  <c r="K7" i="3"/>
  <c r="J7" i="3"/>
  <c r="I7" i="3"/>
  <c r="L6" i="3"/>
  <c r="K6" i="3"/>
  <c r="J6" i="3"/>
  <c r="I6" i="3"/>
  <c r="H6" i="3"/>
  <c r="H7" i="3" s="1"/>
  <c r="G6" i="3"/>
  <c r="G7" i="3" s="1"/>
  <c r="Q13" i="3" s="1"/>
  <c r="F6" i="3"/>
  <c r="F7" i="3" s="1"/>
  <c r="B6" i="3"/>
  <c r="B7" i="3" s="1"/>
  <c r="L5" i="3"/>
  <c r="K5" i="3"/>
  <c r="J5" i="3"/>
  <c r="J11" i="3" s="1"/>
  <c r="I5" i="3"/>
  <c r="I11" i="3" s="1"/>
  <c r="H5" i="3"/>
  <c r="H11" i="3" s="1"/>
  <c r="G5" i="3"/>
  <c r="G11" i="3" s="1"/>
  <c r="F5" i="3"/>
  <c r="F11" i="3" s="1"/>
  <c r="E5" i="3"/>
  <c r="D5" i="3"/>
  <c r="D11" i="3" s="1"/>
  <c r="C5" i="3"/>
  <c r="B5" i="3"/>
  <c r="L4" i="3"/>
  <c r="K4" i="3"/>
  <c r="J4" i="3"/>
  <c r="I4" i="3"/>
  <c r="H4" i="3"/>
  <c r="G4" i="3"/>
  <c r="F4" i="3"/>
  <c r="E4" i="3"/>
  <c r="D4" i="3"/>
  <c r="C4" i="3"/>
  <c r="B4" i="3"/>
  <c r="E6" i="3" s="1"/>
  <c r="E7" i="3" s="1"/>
  <c r="B3" i="5"/>
  <c r="P40" i="8" l="1"/>
  <c r="O40" i="8"/>
  <c r="N40" i="8"/>
  <c r="P11" i="10"/>
  <c r="D11" i="10"/>
  <c r="N11" i="10"/>
  <c r="F1" i="9"/>
  <c r="F20" i="9" s="1"/>
  <c r="H6" i="8"/>
  <c r="I6" i="8" s="1"/>
  <c r="J6" i="8" s="1"/>
  <c r="G10" i="8"/>
  <c r="N19" i="10"/>
  <c r="N21" i="9" s="1"/>
  <c r="N23" i="9" s="1"/>
  <c r="N33" i="9" s="1"/>
  <c r="N35" i="9" s="1"/>
  <c r="N18" i="10"/>
  <c r="N2" i="9" s="1"/>
  <c r="N4" i="9" s="1"/>
  <c r="C8" i="3"/>
  <c r="D8" i="3" s="1"/>
  <c r="B8" i="3"/>
  <c r="Q12" i="3"/>
  <c r="G19" i="10"/>
  <c r="G21" i="9" s="1"/>
  <c r="G23" i="9" s="1"/>
  <c r="G33" i="9" s="1"/>
  <c r="G35" i="9" s="1"/>
  <c r="G18" i="10"/>
  <c r="G2" i="9" s="1"/>
  <c r="G4" i="9" s="1"/>
  <c r="L16" i="10"/>
  <c r="L14" i="10" s="1"/>
  <c r="L10" i="10"/>
  <c r="L11" i="10" s="1"/>
  <c r="F10" i="8"/>
  <c r="F2" i="7"/>
  <c r="H1" i="10"/>
  <c r="P19" i="10"/>
  <c r="P21" i="9" s="1"/>
  <c r="P23" i="9" s="1"/>
  <c r="P33" i="9" s="1"/>
  <c r="P35" i="9" s="1"/>
  <c r="P18" i="10"/>
  <c r="P2" i="9" s="1"/>
  <c r="P4" i="9" s="1"/>
  <c r="H10" i="8"/>
  <c r="B28" i="2"/>
  <c r="B30" i="2" s="1"/>
  <c r="B12" i="2"/>
  <c r="U6" i="6"/>
  <c r="D19" i="10"/>
  <c r="D21" i="9" s="1"/>
  <c r="D18" i="10"/>
  <c r="D2" i="9" s="1"/>
  <c r="D4" i="9" s="1"/>
  <c r="I11" i="10"/>
  <c r="H16" i="10"/>
  <c r="H14" i="10" s="1"/>
  <c r="H10" i="10"/>
  <c r="H11" i="10" s="1"/>
  <c r="I16" i="10"/>
  <c r="I14" i="10" s="1"/>
  <c r="I10" i="10"/>
  <c r="J16" i="10"/>
  <c r="J14" i="10" s="1"/>
  <c r="J10" i="10"/>
  <c r="J11" i="10" s="1"/>
  <c r="K16" i="10"/>
  <c r="K14" i="10" s="1"/>
  <c r="K10" i="10"/>
  <c r="K11" i="10" s="1"/>
  <c r="E2" i="7"/>
  <c r="E11" i="10"/>
  <c r="Q11" i="10"/>
  <c r="G1" i="9"/>
  <c r="B3" i="12" a="1"/>
  <c r="B3" i="12" s="1"/>
  <c r="G1" i="11"/>
  <c r="H1" i="11" s="1"/>
  <c r="I1" i="11" s="1"/>
  <c r="J1" i="11" s="1"/>
  <c r="K1" i="11" s="1"/>
  <c r="L1" i="11" s="1"/>
  <c r="M1" i="11" s="1"/>
  <c r="N1" i="11" s="1"/>
  <c r="O1" i="11" s="1"/>
  <c r="P1" i="11" s="1"/>
  <c r="Q1" i="11" s="1"/>
  <c r="R1" i="11" s="1"/>
  <c r="O2" i="10"/>
  <c r="E5" i="1"/>
  <c r="D7" i="1"/>
  <c r="D6" i="1"/>
  <c r="W28" i="8"/>
  <c r="D8" i="8" s="1"/>
  <c r="E8" i="8" s="1"/>
  <c r="C25" i="1"/>
  <c r="C24" i="1"/>
  <c r="C6" i="3"/>
  <c r="C7" i="3" s="1"/>
  <c r="E24" i="9"/>
  <c r="W27" i="8"/>
  <c r="D7" i="8" s="1"/>
  <c r="D6" i="3"/>
  <c r="D7" i="3" s="1"/>
  <c r="F2" i="10"/>
  <c r="R2" i="10"/>
  <c r="I10" i="8"/>
  <c r="M10" i="10"/>
  <c r="M11" i="10" s="1"/>
  <c r="D10" i="8"/>
  <c r="B14" i="4"/>
  <c r="B15" i="4"/>
  <c r="E15" i="4" s="1"/>
  <c r="E10" i="8"/>
  <c r="N38" i="9" l="1"/>
  <c r="N40" i="9" s="1"/>
  <c r="I51" i="9"/>
  <c r="G38" i="9"/>
  <c r="G40" i="9" s="1"/>
  <c r="J18" i="10"/>
  <c r="J2" i="9" s="1"/>
  <c r="J4" i="9" s="1"/>
  <c r="J19" i="10"/>
  <c r="J21" i="9" s="1"/>
  <c r="J23" i="9" s="1"/>
  <c r="D9" i="3"/>
  <c r="D10" i="3" s="1"/>
  <c r="D12" i="3" s="1"/>
  <c r="D9" i="5" s="1"/>
  <c r="E8" i="3"/>
  <c r="H18" i="10"/>
  <c r="H2" i="9" s="1"/>
  <c r="H4" i="9" s="1"/>
  <c r="H19" i="10"/>
  <c r="H21" i="9" s="1"/>
  <c r="H23" i="9" s="1"/>
  <c r="M19" i="10"/>
  <c r="M21" i="9" s="1"/>
  <c r="M23" i="9" s="1"/>
  <c r="M18" i="10"/>
  <c r="M2" i="9" s="1"/>
  <c r="M4" i="9" s="1"/>
  <c r="F16" i="10"/>
  <c r="F14" i="10" s="1"/>
  <c r="F10" i="10"/>
  <c r="F11" i="10" s="1"/>
  <c r="K19" i="10"/>
  <c r="K21" i="9" s="1"/>
  <c r="K23" i="9" s="1"/>
  <c r="K18" i="10"/>
  <c r="K2" i="9" s="1"/>
  <c r="K4" i="9" s="1"/>
  <c r="F51" i="9"/>
  <c r="F24" i="8"/>
  <c r="E3" i="6"/>
  <c r="E4" i="6" s="1"/>
  <c r="E3" i="7"/>
  <c r="E4" i="7" s="1"/>
  <c r="D24" i="8"/>
  <c r="C3" i="6"/>
  <c r="C3" i="7"/>
  <c r="C4" i="7" s="1"/>
  <c r="C5" i="7" s="1"/>
  <c r="B19" i="2"/>
  <c r="E19" i="2" s="1"/>
  <c r="B18" i="2"/>
  <c r="E18" i="2" s="1"/>
  <c r="B17" i="2"/>
  <c r="E17" i="2" s="1"/>
  <c r="B16" i="2"/>
  <c r="E16" i="2" s="1"/>
  <c r="B15" i="2"/>
  <c r="E15" i="2" s="1"/>
  <c r="B24" i="2"/>
  <c r="E51" i="9"/>
  <c r="E24" i="8"/>
  <c r="D3" i="6"/>
  <c r="D4" i="6" s="1"/>
  <c r="D3" i="7"/>
  <c r="D4" i="7" s="1"/>
  <c r="H24" i="8"/>
  <c r="G3" i="7"/>
  <c r="G4" i="7" s="1"/>
  <c r="H51" i="9"/>
  <c r="G3" i="6"/>
  <c r="G4" i="6" s="1"/>
  <c r="P6" i="9"/>
  <c r="P8" i="9" s="1"/>
  <c r="P11" i="9"/>
  <c r="P13" i="9" s="1"/>
  <c r="O16" i="10"/>
  <c r="O14" i="10" s="1"/>
  <c r="O10" i="10"/>
  <c r="O11" i="10" s="1"/>
  <c r="I3" i="12" a="1"/>
  <c r="I3" i="12" s="1"/>
  <c r="I18" i="10"/>
  <c r="I2" i="9" s="1"/>
  <c r="I4" i="9" s="1"/>
  <c r="I19" i="10"/>
  <c r="I21" i="9" s="1"/>
  <c r="I23" i="9" s="1"/>
  <c r="E19" i="10"/>
  <c r="E21" i="9" s="1"/>
  <c r="E23" i="9" s="1"/>
  <c r="E18" i="10"/>
  <c r="E2" i="9" s="1"/>
  <c r="E4" i="9" s="1"/>
  <c r="L19" i="10"/>
  <c r="L21" i="9" s="1"/>
  <c r="L23" i="9" s="1"/>
  <c r="L18" i="10"/>
  <c r="L2" i="9" s="1"/>
  <c r="L4" i="9" s="1"/>
  <c r="E7" i="8"/>
  <c r="D11" i="8"/>
  <c r="D23" i="1"/>
  <c r="D51" i="9"/>
  <c r="D49" i="9" s="1"/>
  <c r="F8" i="8"/>
  <c r="E12" i="8"/>
  <c r="E26" i="8" s="1"/>
  <c r="N6" i="9"/>
  <c r="N8" i="9" s="1"/>
  <c r="N11" i="9"/>
  <c r="N13" i="9" s="1"/>
  <c r="C13" i="3"/>
  <c r="C14" i="3" s="1"/>
  <c r="C9" i="3"/>
  <c r="C10" i="3" s="1"/>
  <c r="C12" i="3" s="1"/>
  <c r="C9" i="5" s="1"/>
  <c r="I1" i="10"/>
  <c r="G2" i="7"/>
  <c r="F24" i="9"/>
  <c r="G11" i="9"/>
  <c r="G13" i="9" s="1"/>
  <c r="G6" i="9"/>
  <c r="G8" i="9" s="1"/>
  <c r="R16" i="10"/>
  <c r="R14" i="10" s="1"/>
  <c r="R10" i="10"/>
  <c r="R11" i="10" s="1"/>
  <c r="F5" i="1"/>
  <c r="E8" i="1"/>
  <c r="E7" i="1"/>
  <c r="E6" i="1"/>
  <c r="D38" i="9"/>
  <c r="D40" i="9" s="1"/>
  <c r="G20" i="9"/>
  <c r="H1" i="9"/>
  <c r="G24" i="8"/>
  <c r="G51" i="9"/>
  <c r="F3" i="7"/>
  <c r="F4" i="7" s="1"/>
  <c r="F3" i="6"/>
  <c r="F4" i="6" s="1"/>
  <c r="E14" i="4"/>
  <c r="B30" i="4" s="1"/>
  <c r="V3" i="5"/>
  <c r="D12" i="8"/>
  <c r="D26" i="8" s="1"/>
  <c r="I24" i="8"/>
  <c r="H3" i="7"/>
  <c r="H4" i="7" s="1"/>
  <c r="H3" i="6"/>
  <c r="H4" i="6" s="1"/>
  <c r="P38" i="9"/>
  <c r="P40" i="9" s="1"/>
  <c r="Q19" i="10"/>
  <c r="Q21" i="9" s="1"/>
  <c r="Q23" i="9" s="1"/>
  <c r="Q18" i="10"/>
  <c r="Q2" i="9" s="1"/>
  <c r="Q4" i="9" s="1"/>
  <c r="B9" i="3"/>
  <c r="B10" i="3" s="1"/>
  <c r="B13" i="3"/>
  <c r="J10" i="8"/>
  <c r="K6" i="8"/>
  <c r="D20" i="8" l="1"/>
  <c r="D42" i="8" s="1"/>
  <c r="C4" i="6"/>
  <c r="D41" i="9"/>
  <c r="C6" i="7"/>
  <c r="D5" i="7"/>
  <c r="M6" i="9"/>
  <c r="M8" i="9" s="1"/>
  <c r="M11" i="9"/>
  <c r="M13" i="9" s="1"/>
  <c r="B20" i="5"/>
  <c r="G4" i="5"/>
  <c r="F4" i="5"/>
  <c r="L20" i="5"/>
  <c r="E4" i="5"/>
  <c r="C4" i="5"/>
  <c r="K20" i="5"/>
  <c r="D4" i="5"/>
  <c r="J20" i="5"/>
  <c r="I20" i="5"/>
  <c r="B4" i="5"/>
  <c r="B5" i="5" s="1"/>
  <c r="H20" i="5"/>
  <c r="E20" i="5"/>
  <c r="D20" i="5"/>
  <c r="C20" i="5"/>
  <c r="L4" i="5"/>
  <c r="I4" i="5"/>
  <c r="K4" i="5"/>
  <c r="J4" i="5"/>
  <c r="G20" i="5"/>
  <c r="F20" i="5"/>
  <c r="H4" i="5"/>
  <c r="F9" i="1"/>
  <c r="G5" i="1"/>
  <c r="F8" i="1"/>
  <c r="F7" i="1"/>
  <c r="F6" i="1"/>
  <c r="F23" i="1" s="1"/>
  <c r="E33" i="9"/>
  <c r="E35" i="9" s="1"/>
  <c r="E38" i="9"/>
  <c r="E40" i="9" s="1"/>
  <c r="M33" i="9"/>
  <c r="M35" i="9" s="1"/>
  <c r="M38" i="9"/>
  <c r="M40" i="9" s="1"/>
  <c r="L33" i="9"/>
  <c r="L35" i="9" s="1"/>
  <c r="L38" i="9"/>
  <c r="L40" i="9" s="1"/>
  <c r="H33" i="9"/>
  <c r="H35" i="9" s="1"/>
  <c r="H38" i="9"/>
  <c r="H40" i="9" s="1"/>
  <c r="H11" i="9"/>
  <c r="H13" i="9" s="1"/>
  <c r="H6" i="9"/>
  <c r="H8" i="9" s="1"/>
  <c r="N15" i="9"/>
  <c r="I33" i="9"/>
  <c r="I35" i="9" s="1"/>
  <c r="I38" i="9"/>
  <c r="I40" i="9" s="1"/>
  <c r="O19" i="10"/>
  <c r="O21" i="9" s="1"/>
  <c r="O23" i="9" s="1"/>
  <c r="O18" i="10"/>
  <c r="O2" i="9" s="1"/>
  <c r="O4" i="9" s="1"/>
  <c r="E32" i="9"/>
  <c r="E34" i="9" s="1"/>
  <c r="E9" i="3"/>
  <c r="E10" i="3" s="1"/>
  <c r="E12" i="3" s="1"/>
  <c r="E9" i="5" s="1"/>
  <c r="F8" i="3"/>
  <c r="L6" i="8"/>
  <c r="K10" i="8"/>
  <c r="J24" i="8"/>
  <c r="J51" i="9"/>
  <c r="I3" i="7"/>
  <c r="I4" i="7" s="1"/>
  <c r="I3" i="6"/>
  <c r="I4" i="6" s="1"/>
  <c r="H20" i="9"/>
  <c r="I1" i="9"/>
  <c r="B32" i="2"/>
  <c r="K11" i="9"/>
  <c r="K13" i="9" s="1"/>
  <c r="K6" i="9"/>
  <c r="K8" i="9" s="1"/>
  <c r="B31" i="4"/>
  <c r="L19" i="5"/>
  <c r="L21" i="5" s="1"/>
  <c r="I19" i="5"/>
  <c r="I21" i="5" s="1"/>
  <c r="K19" i="5"/>
  <c r="K21" i="5" s="1"/>
  <c r="J19" i="5"/>
  <c r="J21" i="5" s="1"/>
  <c r="H19" i="5"/>
  <c r="H21" i="5" s="1"/>
  <c r="G19" i="5"/>
  <c r="F19" i="5"/>
  <c r="F21" i="5" s="1"/>
  <c r="E19" i="5"/>
  <c r="E21" i="5" s="1"/>
  <c r="B19" i="5"/>
  <c r="B21" i="5" s="1"/>
  <c r="D19" i="5"/>
  <c r="D21" i="5" s="1"/>
  <c r="C19" i="5"/>
  <c r="C21" i="5" s="1"/>
  <c r="I11" i="9"/>
  <c r="I13" i="9" s="1"/>
  <c r="I6" i="9"/>
  <c r="I8" i="9" s="1"/>
  <c r="B14" i="3"/>
  <c r="B12" i="3"/>
  <c r="B9" i="5" s="1"/>
  <c r="G8" i="8"/>
  <c r="F12" i="8"/>
  <c r="F26" i="8" s="1"/>
  <c r="Q6" i="9"/>
  <c r="Q8" i="9" s="1"/>
  <c r="Q11" i="9"/>
  <c r="Q13" i="9" s="1"/>
  <c r="D25" i="1"/>
  <c r="D24" i="1"/>
  <c r="C3" i="5"/>
  <c r="C5" i="5" s="1"/>
  <c r="D25" i="8"/>
  <c r="D35" i="8" s="1"/>
  <c r="D9" i="11" s="1"/>
  <c r="K33" i="9"/>
  <c r="K35" i="9" s="1"/>
  <c r="K38" i="9"/>
  <c r="K40" i="9" s="1"/>
  <c r="D13" i="3"/>
  <c r="D14" i="3" s="1"/>
  <c r="R19" i="10"/>
  <c r="R21" i="9" s="1"/>
  <c r="R23" i="9" s="1"/>
  <c r="R18" i="10"/>
  <c r="R2" i="9" s="1"/>
  <c r="R4" i="9" s="1"/>
  <c r="G15" i="9"/>
  <c r="Q33" i="9"/>
  <c r="Q35" i="9" s="1"/>
  <c r="Q38" i="9"/>
  <c r="Q40" i="9" s="1"/>
  <c r="G24" i="9"/>
  <c r="P15" i="9"/>
  <c r="J1" i="10"/>
  <c r="H2" i="7"/>
  <c r="F7" i="8"/>
  <c r="E11" i="8"/>
  <c r="E20" i="8" s="1"/>
  <c r="J33" i="9"/>
  <c r="J35" i="9" s="1"/>
  <c r="J38" i="9"/>
  <c r="J40" i="9" s="1"/>
  <c r="E6" i="9"/>
  <c r="E8" i="9" s="1"/>
  <c r="E11" i="9"/>
  <c r="E13" i="9" s="1"/>
  <c r="D15" i="9"/>
  <c r="E23" i="1"/>
  <c r="L11" i="9"/>
  <c r="L13" i="9" s="1"/>
  <c r="L6" i="9"/>
  <c r="L8" i="9" s="1"/>
  <c r="F19" i="10"/>
  <c r="F21" i="9" s="1"/>
  <c r="F23" i="9" s="1"/>
  <c r="F18" i="10"/>
  <c r="F2" i="9" s="1"/>
  <c r="F4" i="9" s="1"/>
  <c r="J11" i="9"/>
  <c r="J13" i="9" s="1"/>
  <c r="J6" i="9"/>
  <c r="J8" i="9" s="1"/>
  <c r="C6" i="6" l="1"/>
  <c r="D6" i="6"/>
  <c r="P47" i="9"/>
  <c r="D44" i="9"/>
  <c r="D48" i="9" s="1"/>
  <c r="G47" i="9"/>
  <c r="N47" i="9"/>
  <c r="D47" i="9"/>
  <c r="E15" i="9"/>
  <c r="M6" i="8"/>
  <c r="L10" i="8"/>
  <c r="H15" i="9"/>
  <c r="I15" i="9"/>
  <c r="F13" i="3"/>
  <c r="F9" i="3"/>
  <c r="F10" i="3" s="1"/>
  <c r="F12" i="3" s="1"/>
  <c r="F9" i="5" s="1"/>
  <c r="G8" i="3"/>
  <c r="F25" i="1"/>
  <c r="F24" i="1"/>
  <c r="E3" i="5"/>
  <c r="E5" i="5" s="1"/>
  <c r="D2" i="11"/>
  <c r="D3" i="11" s="1"/>
  <c r="C11" i="7"/>
  <c r="K24" i="8"/>
  <c r="J3" i="7"/>
  <c r="J4" i="7" s="1"/>
  <c r="J3" i="6"/>
  <c r="J4" i="6" s="1"/>
  <c r="K51" i="9"/>
  <c r="Q15" i="9"/>
  <c r="K15" i="9"/>
  <c r="G32" i="9"/>
  <c r="G34" i="9" s="1"/>
  <c r="H24" i="9"/>
  <c r="J15" i="9"/>
  <c r="B33" i="2"/>
  <c r="J12" i="5"/>
  <c r="I12" i="5"/>
  <c r="H12" i="5"/>
  <c r="G12" i="5"/>
  <c r="F12" i="5"/>
  <c r="E12" i="5"/>
  <c r="D12" i="5"/>
  <c r="L12" i="5"/>
  <c r="K12" i="5"/>
  <c r="B12" i="5"/>
  <c r="C12" i="5"/>
  <c r="E13" i="3"/>
  <c r="R6" i="9"/>
  <c r="R8" i="9" s="1"/>
  <c r="R11" i="9"/>
  <c r="R13" i="9" s="1"/>
  <c r="R33" i="9"/>
  <c r="R35" i="9" s="1"/>
  <c r="R38" i="9"/>
  <c r="R40" i="9" s="1"/>
  <c r="K1" i="10"/>
  <c r="I2" i="7"/>
  <c r="I20" i="9"/>
  <c r="J1" i="9"/>
  <c r="E36" i="9"/>
  <c r="E41" i="9" s="1"/>
  <c r="G8" i="1"/>
  <c r="G7" i="1"/>
  <c r="G6" i="1"/>
  <c r="G23" i="1" s="1"/>
  <c r="G10" i="1"/>
  <c r="G9" i="1"/>
  <c r="H5" i="1"/>
  <c r="M15" i="9"/>
  <c r="F33" i="9"/>
  <c r="F35" i="9" s="1"/>
  <c r="F38" i="9"/>
  <c r="F40" i="9" s="1"/>
  <c r="L15" i="9"/>
  <c r="H8" i="8"/>
  <c r="G12" i="8"/>
  <c r="G26" i="8" s="1"/>
  <c r="O11" i="9"/>
  <c r="O13" i="9" s="1"/>
  <c r="O6" i="9"/>
  <c r="O8" i="9" s="1"/>
  <c r="G21" i="5"/>
  <c r="O33" i="9"/>
  <c r="O35" i="9" s="1"/>
  <c r="O38" i="9"/>
  <c r="O40" i="9" s="1"/>
  <c r="D6" i="7"/>
  <c r="E5" i="7"/>
  <c r="E25" i="8"/>
  <c r="E35" i="8" s="1"/>
  <c r="E42" i="8" s="1"/>
  <c r="E9" i="11" s="1"/>
  <c r="F6" i="9"/>
  <c r="F8" i="9" s="1"/>
  <c r="F11" i="9"/>
  <c r="F13" i="9" s="1"/>
  <c r="G7" i="8"/>
  <c r="F11" i="8"/>
  <c r="F20" i="8" s="1"/>
  <c r="E24" i="1"/>
  <c r="E25" i="1" s="1"/>
  <c r="D3" i="5"/>
  <c r="D5" i="5" s="1"/>
  <c r="F32" i="9"/>
  <c r="F34" i="9" s="1"/>
  <c r="D8" i="11"/>
  <c r="C12" i="7"/>
  <c r="E5" i="6" l="1"/>
  <c r="E44" i="9"/>
  <c r="E48" i="9"/>
  <c r="D5" i="11"/>
  <c r="D6" i="11" s="1"/>
  <c r="J47" i="9"/>
  <c r="E47" i="9"/>
  <c r="E49" i="9" s="1"/>
  <c r="K47" i="9"/>
  <c r="L47" i="9"/>
  <c r="Q47" i="9"/>
  <c r="M47" i="9"/>
  <c r="I47" i="9"/>
  <c r="H47" i="9"/>
  <c r="E8" i="11"/>
  <c r="E10" i="11" s="1"/>
  <c r="D12" i="7"/>
  <c r="C13" i="7"/>
  <c r="J20" i="9"/>
  <c r="K1" i="9"/>
  <c r="E2" i="11"/>
  <c r="D11" i="7"/>
  <c r="G24" i="1"/>
  <c r="G25" i="1" s="1"/>
  <c r="F3" i="5"/>
  <c r="F5" i="5" s="1"/>
  <c r="R15" i="9"/>
  <c r="G36" i="9"/>
  <c r="G41" i="9" s="1"/>
  <c r="F15" i="9"/>
  <c r="C16" i="5"/>
  <c r="C27" i="5" s="1"/>
  <c r="C15" i="5"/>
  <c r="C26" i="5" s="1"/>
  <c r="G13" i="3"/>
  <c r="G14" i="3" s="1"/>
  <c r="G9" i="3"/>
  <c r="G10" i="3" s="1"/>
  <c r="H8" i="3"/>
  <c r="I24" i="9"/>
  <c r="H32" i="9"/>
  <c r="H34" i="9" s="1"/>
  <c r="F25" i="8"/>
  <c r="F35" i="8" s="1"/>
  <c r="F42" i="8" s="1"/>
  <c r="F9" i="11" s="1"/>
  <c r="E14" i="3"/>
  <c r="B15" i="5"/>
  <c r="B26" i="5" s="1"/>
  <c r="B16" i="5"/>
  <c r="B27" i="5" s="1"/>
  <c r="E15" i="5"/>
  <c r="E26" i="5" s="1"/>
  <c r="E16" i="5"/>
  <c r="E27" i="5" s="1"/>
  <c r="E6" i="6"/>
  <c r="F5" i="6"/>
  <c r="D10" i="11"/>
  <c r="H8" i="1"/>
  <c r="H7" i="1"/>
  <c r="H6" i="1"/>
  <c r="H11" i="1"/>
  <c r="H10" i="1"/>
  <c r="H9" i="1"/>
  <c r="I5" i="1"/>
  <c r="F14" i="3"/>
  <c r="L24" i="8"/>
  <c r="L51" i="9"/>
  <c r="K3" i="6"/>
  <c r="K4" i="6" s="1"/>
  <c r="K3" i="7"/>
  <c r="K4" i="7" s="1"/>
  <c r="M10" i="8"/>
  <c r="N6" i="8"/>
  <c r="F36" i="9"/>
  <c r="F41" i="9" s="1"/>
  <c r="I8" i="8"/>
  <c r="H12" i="8"/>
  <c r="H26" i="8" s="1"/>
  <c r="J2" i="7"/>
  <c r="L1" i="10"/>
  <c r="F15" i="5"/>
  <c r="F26" i="5" s="1"/>
  <c r="F16" i="5"/>
  <c r="F27" i="5" s="1"/>
  <c r="H7" i="8"/>
  <c r="G11" i="8"/>
  <c r="G20" i="8" s="1"/>
  <c r="D4" i="11"/>
  <c r="O15" i="9"/>
  <c r="E6" i="7"/>
  <c r="F5" i="7"/>
  <c r="D15" i="5"/>
  <c r="D26" i="5" s="1"/>
  <c r="D16" i="5"/>
  <c r="D27" i="5" s="1"/>
  <c r="F44" i="9" l="1"/>
  <c r="F48" i="9"/>
  <c r="O47" i="9"/>
  <c r="F47" i="9"/>
  <c r="F49" i="9" s="1"/>
  <c r="F5" i="11" s="1"/>
  <c r="R47" i="9"/>
  <c r="G44" i="9"/>
  <c r="G48" i="9" s="1"/>
  <c r="G49" i="9" s="1"/>
  <c r="G5" i="11" s="1"/>
  <c r="E5" i="11"/>
  <c r="E6" i="11" s="1"/>
  <c r="E12" i="11" s="1"/>
  <c r="I7" i="1"/>
  <c r="I6" i="1"/>
  <c r="I11" i="1"/>
  <c r="I10" i="1"/>
  <c r="I12" i="1"/>
  <c r="I9" i="1"/>
  <c r="J5" i="1"/>
  <c r="I8" i="1"/>
  <c r="J24" i="9"/>
  <c r="I32" i="9"/>
  <c r="I34" i="9" s="1"/>
  <c r="K20" i="9"/>
  <c r="L1" i="9"/>
  <c r="O6" i="8"/>
  <c r="N10" i="8"/>
  <c r="H9" i="3"/>
  <c r="H10" i="3" s="1"/>
  <c r="H12" i="3" s="1"/>
  <c r="H9" i="5" s="1"/>
  <c r="H16" i="5" s="1"/>
  <c r="H27" i="5" s="1"/>
  <c r="I8" i="3"/>
  <c r="G12" i="3"/>
  <c r="G9" i="5" s="1"/>
  <c r="G16" i="5" s="1"/>
  <c r="G27" i="5" s="1"/>
  <c r="M24" i="8"/>
  <c r="L3" i="6"/>
  <c r="L4" i="6" s="1"/>
  <c r="L3" i="7"/>
  <c r="L4" i="7" s="1"/>
  <c r="M51" i="9"/>
  <c r="I7" i="8"/>
  <c r="H11" i="8"/>
  <c r="H20" i="8" s="1"/>
  <c r="F8" i="11"/>
  <c r="E12" i="7"/>
  <c r="E13" i="7" s="1"/>
  <c r="H23" i="1"/>
  <c r="D13" i="7"/>
  <c r="G25" i="8"/>
  <c r="G35" i="8" s="1"/>
  <c r="F2" i="11"/>
  <c r="E11" i="7"/>
  <c r="E3" i="11"/>
  <c r="E4" i="11"/>
  <c r="K2" i="7"/>
  <c r="M1" i="10"/>
  <c r="F6" i="6"/>
  <c r="G5" i="6"/>
  <c r="H36" i="9"/>
  <c r="H41" i="9" s="1"/>
  <c r="D12" i="11"/>
  <c r="J8" i="8"/>
  <c r="I12" i="8"/>
  <c r="I26" i="8" s="1"/>
  <c r="F6" i="7"/>
  <c r="G5" i="7"/>
  <c r="H44" i="9" l="1"/>
  <c r="H48" i="9"/>
  <c r="H49" i="9" s="1"/>
  <c r="F10" i="11"/>
  <c r="I9" i="3"/>
  <c r="I10" i="3" s="1"/>
  <c r="J8" i="3"/>
  <c r="H24" i="1"/>
  <c r="H25" i="1" s="1"/>
  <c r="G3" i="5"/>
  <c r="G5" i="5" s="1"/>
  <c r="G15" i="5" s="1"/>
  <c r="G26" i="5" s="1"/>
  <c r="H25" i="8"/>
  <c r="H35" i="8" s="1"/>
  <c r="H42" i="8" s="1"/>
  <c r="H9" i="11" s="1"/>
  <c r="G8" i="11"/>
  <c r="F12" i="7"/>
  <c r="J7" i="1"/>
  <c r="J6" i="1"/>
  <c r="J11" i="1"/>
  <c r="J10" i="1"/>
  <c r="J12" i="1"/>
  <c r="J9" i="1"/>
  <c r="K5" i="1"/>
  <c r="J13" i="1"/>
  <c r="J8" i="1"/>
  <c r="F6" i="11"/>
  <c r="F3" i="11"/>
  <c r="F4" i="11" s="1"/>
  <c r="J7" i="8"/>
  <c r="I11" i="8"/>
  <c r="I20" i="8" s="1"/>
  <c r="H13" i="3"/>
  <c r="L2" i="7"/>
  <c r="N1" i="10"/>
  <c r="J32" i="9"/>
  <c r="J34" i="9" s="1"/>
  <c r="K24" i="9"/>
  <c r="K8" i="8"/>
  <c r="J12" i="8"/>
  <c r="J26" i="8" s="1"/>
  <c r="H5" i="11"/>
  <c r="N51" i="9"/>
  <c r="N24" i="8"/>
  <c r="M3" i="6"/>
  <c r="M4" i="6" s="1"/>
  <c r="M3" i="7"/>
  <c r="M4" i="7" s="1"/>
  <c r="I23" i="1"/>
  <c r="I36" i="9"/>
  <c r="I41" i="9" s="1"/>
  <c r="G6" i="6"/>
  <c r="H5" i="6"/>
  <c r="P6" i="8"/>
  <c r="O10" i="8"/>
  <c r="H5" i="7"/>
  <c r="G6" i="7"/>
  <c r="G42" i="8"/>
  <c r="G9" i="11" s="1"/>
  <c r="G2" i="11"/>
  <c r="F11" i="7"/>
  <c r="L20" i="9"/>
  <c r="M1" i="9"/>
  <c r="I44" i="9" l="1"/>
  <c r="I48" i="9"/>
  <c r="I49" i="9" s="1"/>
  <c r="J9" i="3"/>
  <c r="J10" i="3" s="1"/>
  <c r="J12" i="3" s="1"/>
  <c r="J9" i="5" s="1"/>
  <c r="J16" i="5" s="1"/>
  <c r="J27" i="5" s="1"/>
  <c r="K8" i="3"/>
  <c r="M2" i="7"/>
  <c r="O1" i="10"/>
  <c r="I24" i="1"/>
  <c r="I25" i="1" s="1"/>
  <c r="H3" i="5"/>
  <c r="H5" i="5" s="1"/>
  <c r="H15" i="5" s="1"/>
  <c r="H26" i="5" s="1"/>
  <c r="G6" i="11"/>
  <c r="G3" i="11"/>
  <c r="G4" i="11" s="1"/>
  <c r="F13" i="7"/>
  <c r="J23" i="1"/>
  <c r="F12" i="11"/>
  <c r="G10" i="11"/>
  <c r="M20" i="9"/>
  <c r="N1" i="9"/>
  <c r="I25" i="8"/>
  <c r="I35" i="8" s="1"/>
  <c r="I42" i="8" s="1"/>
  <c r="I9" i="11" s="1"/>
  <c r="I13" i="3"/>
  <c r="I14" i="3" s="1"/>
  <c r="H6" i="7"/>
  <c r="I5" i="7"/>
  <c r="O51" i="9"/>
  <c r="O24" i="8"/>
  <c r="N3" i="6"/>
  <c r="N4" i="6" s="1"/>
  <c r="N3" i="7"/>
  <c r="N4" i="7" s="1"/>
  <c r="Q6" i="8"/>
  <c r="P10" i="8"/>
  <c r="H6" i="6"/>
  <c r="I5" i="6"/>
  <c r="L8" i="8"/>
  <c r="K12" i="8"/>
  <c r="K26" i="8" s="1"/>
  <c r="I12" i="3"/>
  <c r="I9" i="5" s="1"/>
  <c r="I16" i="5" s="1"/>
  <c r="I27" i="5" s="1"/>
  <c r="H14" i="3"/>
  <c r="K7" i="8"/>
  <c r="J11" i="8"/>
  <c r="J20" i="8" s="1"/>
  <c r="H8" i="11"/>
  <c r="G12" i="7"/>
  <c r="H2" i="11"/>
  <c r="G11" i="7"/>
  <c r="K32" i="9"/>
  <c r="K34" i="9" s="1"/>
  <c r="L24" i="9"/>
  <c r="J36" i="9"/>
  <c r="J41" i="9" s="1"/>
  <c r="K14" i="1"/>
  <c r="K7" i="1"/>
  <c r="K6" i="1"/>
  <c r="K23" i="1" s="1"/>
  <c r="K11" i="1"/>
  <c r="K10" i="1"/>
  <c r="K12" i="1"/>
  <c r="K9" i="1"/>
  <c r="L5" i="1"/>
  <c r="K13" i="1"/>
  <c r="K8" i="1"/>
  <c r="J44" i="9" l="1"/>
  <c r="J48" i="9"/>
  <c r="J49" i="9" s="1"/>
  <c r="G12" i="11"/>
  <c r="P1" i="10"/>
  <c r="N2" i="7"/>
  <c r="P24" i="8"/>
  <c r="O3" i="6"/>
  <c r="O4" i="6" s="1"/>
  <c r="O3" i="7"/>
  <c r="O4" i="7" s="1"/>
  <c r="P51" i="9"/>
  <c r="K36" i="9"/>
  <c r="K41" i="9" s="1"/>
  <c r="I5" i="11"/>
  <c r="I6" i="7"/>
  <c r="J5" i="7"/>
  <c r="L32" i="9"/>
  <c r="L34" i="9" s="1"/>
  <c r="M24" i="9"/>
  <c r="I8" i="11"/>
  <c r="I10" i="11" s="1"/>
  <c r="H12" i="7"/>
  <c r="K9" i="3"/>
  <c r="K10" i="3" s="1"/>
  <c r="K13" i="3"/>
  <c r="K14" i="3" s="1"/>
  <c r="L8" i="3"/>
  <c r="L7" i="8"/>
  <c r="K11" i="8"/>
  <c r="K20" i="8" s="1"/>
  <c r="J24" i="1"/>
  <c r="J25" i="1" s="1"/>
  <c r="I3" i="5"/>
  <c r="I5" i="5" s="1"/>
  <c r="I15" i="5" s="1"/>
  <c r="I26" i="5" s="1"/>
  <c r="H6" i="11"/>
  <c r="H3" i="11"/>
  <c r="H4" i="11" s="1"/>
  <c r="K24" i="1"/>
  <c r="K25" i="1"/>
  <c r="J3" i="5"/>
  <c r="J5" i="5" s="1"/>
  <c r="J15" i="5" s="1"/>
  <c r="J26" i="5" s="1"/>
  <c r="R6" i="8"/>
  <c r="R10" i="8" s="1"/>
  <c r="Q10" i="8"/>
  <c r="G13" i="7"/>
  <c r="M8" i="8"/>
  <c r="L12" i="8"/>
  <c r="L26" i="8" s="1"/>
  <c r="J13" i="3"/>
  <c r="I6" i="6"/>
  <c r="J5" i="6"/>
  <c r="L15" i="1"/>
  <c r="L6" i="1"/>
  <c r="L11" i="1"/>
  <c r="L10" i="1"/>
  <c r="L12" i="1"/>
  <c r="L9" i="1"/>
  <c r="M5" i="1"/>
  <c r="L13" i="1"/>
  <c r="L8" i="1"/>
  <c r="L14" i="1"/>
  <c r="L7" i="1"/>
  <c r="H10" i="11"/>
  <c r="J25" i="8"/>
  <c r="J35" i="8" s="1"/>
  <c r="I2" i="11"/>
  <c r="H11" i="7"/>
  <c r="N20" i="9"/>
  <c r="O1" i="9"/>
  <c r="K44" i="9" l="1"/>
  <c r="K48" i="9"/>
  <c r="K49" i="9" s="1"/>
  <c r="H13" i="7"/>
  <c r="J5" i="11"/>
  <c r="R51" i="9"/>
  <c r="R24" i="8"/>
  <c r="Q3" i="6"/>
  <c r="Q4" i="6" s="1"/>
  <c r="Q3" i="7"/>
  <c r="Q4" i="7" s="1"/>
  <c r="O20" i="9"/>
  <c r="P1" i="9"/>
  <c r="M15" i="1"/>
  <c r="M6" i="1"/>
  <c r="M11" i="1"/>
  <c r="M10" i="1"/>
  <c r="M12" i="1"/>
  <c r="M9" i="1"/>
  <c r="N5" i="1"/>
  <c r="M16" i="1"/>
  <c r="M13" i="1"/>
  <c r="M8" i="1"/>
  <c r="M14" i="1"/>
  <c r="M7" i="1"/>
  <c r="J14" i="3"/>
  <c r="M32" i="9"/>
  <c r="M34" i="9" s="1"/>
  <c r="N24" i="9"/>
  <c r="H12" i="11"/>
  <c r="L36" i="9"/>
  <c r="L41" i="9" s="1"/>
  <c r="N8" i="8"/>
  <c r="M12" i="8"/>
  <c r="M26" i="8" s="1"/>
  <c r="K12" i="3"/>
  <c r="K9" i="5" s="1"/>
  <c r="K16" i="5" s="1"/>
  <c r="K27" i="5" s="1"/>
  <c r="K5" i="6"/>
  <c r="J6" i="6"/>
  <c r="J2" i="11"/>
  <c r="I11" i="7"/>
  <c r="I6" i="11"/>
  <c r="I3" i="11"/>
  <c r="I4" i="11" s="1"/>
  <c r="Q1" i="10"/>
  <c r="O2" i="7"/>
  <c r="J42" i="8"/>
  <c r="J9" i="11" s="1"/>
  <c r="J6" i="7"/>
  <c r="K5" i="7"/>
  <c r="L9" i="3"/>
  <c r="L10" i="3" s="1"/>
  <c r="L12" i="3" s="1"/>
  <c r="L9" i="5" s="1"/>
  <c r="L16" i="5" s="1"/>
  <c r="L27" i="5" s="1"/>
  <c r="M27" i="5" s="1"/>
  <c r="L13" i="3"/>
  <c r="L14" i="3" s="1"/>
  <c r="Q14" i="3"/>
  <c r="K25" i="8"/>
  <c r="K35" i="8" s="1"/>
  <c r="K42" i="8" s="1"/>
  <c r="K9" i="11" s="1"/>
  <c r="L23" i="1"/>
  <c r="J8" i="11"/>
  <c r="I12" i="7"/>
  <c r="Q51" i="9"/>
  <c r="Q24" i="8"/>
  <c r="P3" i="6"/>
  <c r="P4" i="6" s="1"/>
  <c r="P3" i="7"/>
  <c r="P4" i="7" s="1"/>
  <c r="M7" i="8"/>
  <c r="L11" i="8"/>
  <c r="L20" i="8" s="1"/>
  <c r="L44" i="9" l="1"/>
  <c r="L48" i="9" s="1"/>
  <c r="L49" i="9" s="1"/>
  <c r="K5" i="11"/>
  <c r="M36" i="9"/>
  <c r="M41" i="9" s="1"/>
  <c r="K8" i="11"/>
  <c r="J12" i="7"/>
  <c r="K6" i="6"/>
  <c r="L5" i="6"/>
  <c r="K6" i="7"/>
  <c r="L5" i="7"/>
  <c r="J6" i="11"/>
  <c r="J12" i="11" s="1"/>
  <c r="J3" i="11"/>
  <c r="J4" i="11" s="1"/>
  <c r="M10" i="3"/>
  <c r="M23" i="1"/>
  <c r="R1" i="10"/>
  <c r="Q2" i="7" s="1"/>
  <c r="P2" i="7"/>
  <c r="O8" i="8"/>
  <c r="N12" i="8"/>
  <c r="N26" i="8" s="1"/>
  <c r="M13" i="3"/>
  <c r="P20" i="9"/>
  <c r="Q1" i="9"/>
  <c r="N7" i="8"/>
  <c r="M11" i="8"/>
  <c r="M20" i="8" s="1"/>
  <c r="N32" i="9"/>
  <c r="N34" i="9" s="1"/>
  <c r="O24" i="9"/>
  <c r="K2" i="11"/>
  <c r="J11" i="7"/>
  <c r="I13" i="7"/>
  <c r="J10" i="11"/>
  <c r="L24" i="1"/>
  <c r="L25" i="1"/>
  <c r="K3" i="5"/>
  <c r="K5" i="5" s="1"/>
  <c r="K15" i="5" s="1"/>
  <c r="K26" i="5" s="1"/>
  <c r="N17" i="1"/>
  <c r="N15" i="1"/>
  <c r="N6" i="1"/>
  <c r="N11" i="1"/>
  <c r="N10" i="1"/>
  <c r="N12" i="1"/>
  <c r="N9" i="1"/>
  <c r="O5" i="1"/>
  <c r="N16" i="1"/>
  <c r="N13" i="1"/>
  <c r="N8" i="1"/>
  <c r="N14" i="1"/>
  <c r="N7" i="1"/>
  <c r="L25" i="8"/>
  <c r="L35" i="8" s="1"/>
  <c r="I12" i="11"/>
  <c r="M44" i="9" l="1"/>
  <c r="M48" i="9" s="1"/>
  <c r="M49" i="9" s="1"/>
  <c r="M5" i="11" s="1"/>
  <c r="O15" i="1"/>
  <c r="O6" i="1"/>
  <c r="O11" i="1"/>
  <c r="O10" i="1"/>
  <c r="O12" i="1"/>
  <c r="O9" i="1"/>
  <c r="P5" i="1"/>
  <c r="O16" i="1"/>
  <c r="O13" i="1"/>
  <c r="O8" i="1"/>
  <c r="O18" i="1"/>
  <c r="O14" i="1"/>
  <c r="O7" i="1"/>
  <c r="O17" i="1"/>
  <c r="M5" i="7"/>
  <c r="L6" i="7"/>
  <c r="L6" i="6"/>
  <c r="M5" i="6"/>
  <c r="P8" i="8"/>
  <c r="O12" i="8"/>
  <c r="O26" i="8" s="1"/>
  <c r="K6" i="11"/>
  <c r="K12" i="11" s="1"/>
  <c r="K3" i="11"/>
  <c r="K4" i="11" s="1"/>
  <c r="L2" i="11"/>
  <c r="K11" i="7"/>
  <c r="L42" i="8"/>
  <c r="L9" i="11" s="1"/>
  <c r="N23" i="1"/>
  <c r="O32" i="9"/>
  <c r="O34" i="9" s="1"/>
  <c r="P24" i="9"/>
  <c r="M24" i="1"/>
  <c r="M25" i="1"/>
  <c r="L3" i="5"/>
  <c r="L5" i="5" s="1"/>
  <c r="L15" i="5" s="1"/>
  <c r="L26" i="5" s="1"/>
  <c r="M26" i="5" s="1"/>
  <c r="J13" i="7"/>
  <c r="L8" i="11"/>
  <c r="L10" i="11" s="1"/>
  <c r="K12" i="7"/>
  <c r="N36" i="9"/>
  <c r="N41" i="9" s="1"/>
  <c r="K10" i="11"/>
  <c r="Q20" i="9"/>
  <c r="R1" i="9"/>
  <c r="R20" i="9" s="1"/>
  <c r="M25" i="8"/>
  <c r="M35" i="8" s="1"/>
  <c r="M42" i="8" s="1"/>
  <c r="M9" i="11" s="1"/>
  <c r="L5" i="11"/>
  <c r="O7" i="8"/>
  <c r="N11" i="8"/>
  <c r="N20" i="8" s="1"/>
  <c r="N44" i="9" l="1"/>
  <c r="N48" i="9"/>
  <c r="N49" i="9" s="1"/>
  <c r="K13" i="7"/>
  <c r="O36" i="9"/>
  <c r="O41" i="9" s="1"/>
  <c r="M8" i="11"/>
  <c r="M10" i="11" s="1"/>
  <c r="L12" i="7"/>
  <c r="Q8" i="8"/>
  <c r="P12" i="8"/>
  <c r="P26" i="8" s="1"/>
  <c r="P32" i="9"/>
  <c r="P34" i="9" s="1"/>
  <c r="Q24" i="9"/>
  <c r="M6" i="6"/>
  <c r="N5" i="6"/>
  <c r="N24" i="1"/>
  <c r="N25" i="1"/>
  <c r="N5" i="7"/>
  <c r="M6" i="7"/>
  <c r="P19" i="1"/>
  <c r="P11" i="1"/>
  <c r="P10" i="1"/>
  <c r="P12" i="1"/>
  <c r="P9" i="1"/>
  <c r="Q5" i="1"/>
  <c r="P16" i="1"/>
  <c r="P13" i="1"/>
  <c r="P8" i="1"/>
  <c r="P18" i="1"/>
  <c r="P14" i="1"/>
  <c r="P7" i="1"/>
  <c r="P17" i="1"/>
  <c r="P15" i="1"/>
  <c r="P6" i="1"/>
  <c r="M2" i="11"/>
  <c r="L11" i="7"/>
  <c r="N25" i="8"/>
  <c r="N35" i="8" s="1"/>
  <c r="N42" i="8" s="1"/>
  <c r="N9" i="11" s="1"/>
  <c r="N5" i="11"/>
  <c r="L4" i="11"/>
  <c r="L6" i="11"/>
  <c r="L12" i="11" s="1"/>
  <c r="L3" i="11"/>
  <c r="P7" i="8"/>
  <c r="O11" i="8"/>
  <c r="O20" i="8" s="1"/>
  <c r="O23" i="1"/>
  <c r="O44" i="9" l="1"/>
  <c r="O48" i="9"/>
  <c r="O49" i="9" s="1"/>
  <c r="Q19" i="1"/>
  <c r="Q11" i="1"/>
  <c r="Q10" i="1"/>
  <c r="Q12" i="1"/>
  <c r="Q9" i="1"/>
  <c r="R5" i="1"/>
  <c r="Q16" i="1"/>
  <c r="Q13" i="1"/>
  <c r="Q8" i="1"/>
  <c r="Q18" i="1"/>
  <c r="Q14" i="1"/>
  <c r="Q7" i="1"/>
  <c r="Q20" i="1"/>
  <c r="Q17" i="1"/>
  <c r="Q15" i="1"/>
  <c r="Q6" i="1"/>
  <c r="R24" i="9"/>
  <c r="R32" i="9" s="1"/>
  <c r="R34" i="9" s="1"/>
  <c r="Q32" i="9"/>
  <c r="Q34" i="9" s="1"/>
  <c r="N6" i="6"/>
  <c r="O5" i="6"/>
  <c r="N2" i="11"/>
  <c r="M11" i="7"/>
  <c r="P23" i="1"/>
  <c r="R8" i="8"/>
  <c r="R12" i="8" s="1"/>
  <c r="R26" i="8" s="1"/>
  <c r="Q12" i="8"/>
  <c r="Q26" i="8" s="1"/>
  <c r="L13" i="7"/>
  <c r="P36" i="9"/>
  <c r="P41" i="9" s="1"/>
  <c r="M6" i="11"/>
  <c r="M12" i="11" s="1"/>
  <c r="M3" i="11"/>
  <c r="M4" i="11" s="1"/>
  <c r="N8" i="11"/>
  <c r="N10" i="11" s="1"/>
  <c r="M12" i="7"/>
  <c r="O5" i="11"/>
  <c r="O25" i="1"/>
  <c r="O24" i="1"/>
  <c r="O25" i="8"/>
  <c r="O35" i="8" s="1"/>
  <c r="O42" i="8" s="1"/>
  <c r="O9" i="11" s="1"/>
  <c r="Q7" i="8"/>
  <c r="P11" i="8"/>
  <c r="P20" i="8" s="1"/>
  <c r="O5" i="7"/>
  <c r="N6" i="7"/>
  <c r="P44" i="9" l="1"/>
  <c r="P48" i="9"/>
  <c r="P49" i="9" s="1"/>
  <c r="N6" i="11"/>
  <c r="N12" i="11" s="1"/>
  <c r="N3" i="11"/>
  <c r="N4" i="11" s="1"/>
  <c r="Q36" i="9"/>
  <c r="Q41" i="9" s="1"/>
  <c r="R12" i="1"/>
  <c r="R9" i="1"/>
  <c r="R16" i="1"/>
  <c r="R13" i="1"/>
  <c r="R8" i="1"/>
  <c r="R18" i="1"/>
  <c r="R14" i="1"/>
  <c r="R7" i="1"/>
  <c r="R21" i="1"/>
  <c r="R20" i="1"/>
  <c r="R17" i="1"/>
  <c r="R15" i="1"/>
  <c r="R6" i="1"/>
  <c r="R19" i="1"/>
  <c r="R11" i="1"/>
  <c r="R10" i="1"/>
  <c r="O8" i="11"/>
  <c r="O10" i="11" s="1"/>
  <c r="N12" i="7"/>
  <c r="O2" i="11"/>
  <c r="N11" i="7"/>
  <c r="O6" i="7"/>
  <c r="P5" i="7"/>
  <c r="P25" i="8"/>
  <c r="P35" i="8" s="1"/>
  <c r="P42" i="8" s="1"/>
  <c r="P9" i="11" s="1"/>
  <c r="R36" i="9"/>
  <c r="R41" i="9" s="1"/>
  <c r="M13" i="7"/>
  <c r="O6" i="6"/>
  <c r="P5" i="6"/>
  <c r="R7" i="8"/>
  <c r="R11" i="8" s="1"/>
  <c r="R20" i="8" s="1"/>
  <c r="Q11" i="8"/>
  <c r="Q20" i="8" s="1"/>
  <c r="Q23" i="1"/>
  <c r="P24" i="1"/>
  <c r="P25" i="1" s="1"/>
  <c r="N13" i="7" l="1"/>
  <c r="Q44" i="9"/>
  <c r="Q48" i="9" s="1"/>
  <c r="Q49" i="9" s="1"/>
  <c r="R44" i="9"/>
  <c r="R48" i="9" s="1"/>
  <c r="R49" i="9" s="1"/>
  <c r="R5" i="11" s="1"/>
  <c r="P5" i="11"/>
  <c r="Q25" i="8"/>
  <c r="Q35" i="8" s="1"/>
  <c r="Q42" i="8" s="1"/>
  <c r="Q9" i="11" s="1"/>
  <c r="P6" i="6"/>
  <c r="Q5" i="6"/>
  <c r="Q6" i="6" s="1"/>
  <c r="R23" i="1"/>
  <c r="P2" i="11"/>
  <c r="O11" i="7"/>
  <c r="O6" i="11"/>
  <c r="O12" i="11" s="1"/>
  <c r="O3" i="11"/>
  <c r="O4" i="11" s="1"/>
  <c r="R25" i="8"/>
  <c r="R35" i="8" s="1"/>
  <c r="R42" i="8" s="1"/>
  <c r="R9" i="11" s="1"/>
  <c r="S9" i="11" s="1"/>
  <c r="Q24" i="1"/>
  <c r="Q25" i="1" s="1"/>
  <c r="P6" i="7"/>
  <c r="Q5" i="7"/>
  <c r="Q6" i="7" s="1"/>
  <c r="P8" i="11"/>
  <c r="P10" i="11" s="1"/>
  <c r="O12" i="7"/>
  <c r="O13" i="7" l="1"/>
  <c r="Q5" i="11"/>
  <c r="S5" i="11"/>
  <c r="R8" i="11"/>
  <c r="Q12" i="7"/>
  <c r="R24" i="1"/>
  <c r="S24" i="1" s="1"/>
  <c r="S23" i="1"/>
  <c r="R2" i="11"/>
  <c r="Q11" i="7"/>
  <c r="C9" i="6"/>
  <c r="C9" i="7" s="1"/>
  <c r="P6" i="11"/>
  <c r="P12" i="11" s="1"/>
  <c r="P3" i="11"/>
  <c r="P4" i="11" s="1"/>
  <c r="Q8" i="11"/>
  <c r="Q10" i="11" s="1"/>
  <c r="P12" i="7"/>
  <c r="Q2" i="11"/>
  <c r="P11" i="7"/>
  <c r="R6" i="11" l="1"/>
  <c r="R3" i="11"/>
  <c r="R4" i="11" s="1"/>
  <c r="S2" i="11"/>
  <c r="Q6" i="11"/>
  <c r="Q12" i="11" s="1"/>
  <c r="Q3" i="11"/>
  <c r="Q4" i="11" s="1"/>
  <c r="Q13" i="7"/>
  <c r="R25" i="1"/>
  <c r="S25" i="1" s="1"/>
  <c r="P13" i="7"/>
  <c r="R10" i="11"/>
  <c r="S8" i="11"/>
  <c r="S4" i="11" l="1"/>
  <c r="D3" i="12" a="1"/>
  <c r="S10" i="11"/>
  <c r="S3" i="11"/>
  <c r="R12" i="11"/>
  <c r="S12" i="11" s="1"/>
  <c r="C3" i="12" a="1"/>
  <c r="S6" i="11"/>
  <c r="C3" i="12" l="1"/>
  <c r="K17" i="12"/>
  <c r="K14" i="12"/>
  <c r="K11" i="12"/>
  <c r="K8" i="12"/>
  <c r="K5" i="12"/>
  <c r="D3" i="12"/>
  <c r="K16" i="12"/>
  <c r="K13" i="12"/>
  <c r="K10" i="12"/>
  <c r="K7" i="12"/>
  <c r="K4" i="12"/>
  <c r="K15" i="12"/>
  <c r="K12" i="12"/>
  <c r="K9" i="12"/>
  <c r="K6" i="12"/>
  <c r="K3" i="12" l="1"/>
  <c r="K18" i="12" s="1"/>
  <c r="D18" i="12"/>
  <c r="C18" i="12"/>
  <c r="E3" i="12"/>
  <c r="J3" i="12"/>
  <c r="L3" i="12" l="1"/>
  <c r="I17" i="12"/>
  <c r="I16" i="12"/>
  <c r="I15" i="12"/>
  <c r="I14" i="12"/>
  <c r="I13" i="12"/>
  <c r="I12" i="12"/>
  <c r="I11" i="12"/>
  <c r="I10" i="12"/>
  <c r="I9" i="12"/>
  <c r="I8" i="12"/>
  <c r="I7" i="12"/>
  <c r="I6" i="12"/>
  <c r="I5" i="12"/>
  <c r="I4" i="12"/>
  <c r="D17" i="12"/>
  <c r="D16" i="12"/>
  <c r="D15" i="12"/>
  <c r="D14" i="12"/>
  <c r="D13" i="12"/>
  <c r="D12" i="12"/>
  <c r="D11" i="12"/>
  <c r="D10" i="12"/>
  <c r="D9" i="12"/>
  <c r="D8" i="12"/>
  <c r="D7" i="12"/>
  <c r="D6" i="12"/>
  <c r="D5" i="12"/>
  <c r="D4" i="12"/>
  <c r="C17" i="12"/>
  <c r="C16" i="12"/>
  <c r="C15" i="12"/>
  <c r="C14" i="12"/>
  <c r="C13" i="12"/>
  <c r="C12" i="12"/>
  <c r="C11" i="12"/>
  <c r="C10" i="12"/>
  <c r="C9" i="12"/>
  <c r="C8" i="12"/>
  <c r="C7" i="12"/>
  <c r="C6" i="12"/>
  <c r="C5" i="12"/>
  <c r="C4" i="12"/>
  <c r="B17" i="12"/>
  <c r="B16" i="12"/>
  <c r="B15" i="12"/>
  <c r="B14" i="12"/>
  <c r="B13" i="12"/>
  <c r="B12" i="12"/>
  <c r="B11" i="12"/>
  <c r="B10" i="12"/>
  <c r="B9" i="12"/>
  <c r="B8" i="12"/>
  <c r="B7" i="12"/>
  <c r="B6" i="12"/>
  <c r="B5" i="12"/>
  <c r="B4" i="12"/>
  <c r="J9" i="12" l="1"/>
  <c r="L9" i="12" s="1"/>
  <c r="E9" i="12"/>
  <c r="E15" i="12"/>
  <c r="J15" i="12"/>
  <c r="L15" i="12" s="1"/>
  <c r="E4" i="12"/>
  <c r="J4" i="12"/>
  <c r="E10" i="12"/>
  <c r="J10" i="12"/>
  <c r="L10" i="12" s="1"/>
  <c r="J16" i="12"/>
  <c r="L16" i="12" s="1"/>
  <c r="E16" i="12"/>
  <c r="E5" i="12"/>
  <c r="J5" i="12"/>
  <c r="L5" i="12" s="1"/>
  <c r="E11" i="12"/>
  <c r="J11" i="12"/>
  <c r="L11" i="12" s="1"/>
  <c r="E17" i="12"/>
  <c r="J17" i="12"/>
  <c r="L17" i="12" s="1"/>
  <c r="E6" i="12"/>
  <c r="J6" i="12"/>
  <c r="L6" i="12" s="1"/>
  <c r="E12" i="12"/>
  <c r="J12" i="12"/>
  <c r="L12" i="12" s="1"/>
  <c r="E7" i="12"/>
  <c r="J7" i="12"/>
  <c r="L7" i="12" s="1"/>
  <c r="E13" i="12"/>
  <c r="J13" i="12"/>
  <c r="L13" i="12" s="1"/>
  <c r="E8" i="12"/>
  <c r="J8" i="12"/>
  <c r="L8" i="12" s="1"/>
  <c r="E14" i="12"/>
  <c r="J14" i="12"/>
  <c r="L14" i="12" s="1"/>
  <c r="L4" i="12" l="1"/>
  <c r="L18" i="12" s="1"/>
  <c r="L19" i="12" s="1"/>
  <c r="J18" i="12"/>
  <c r="E19" i="12"/>
  <c r="E18"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tc={F307F6B2-4995-47C0-8C99-E1EA0127EC82}</author>
  </authors>
  <commentList>
    <comment ref="V4" authorId="0" shapeId="0" xr:uid="{F307F6B2-4995-47C0-8C99-E1EA0127EC82}">
      <text>
        <r>
          <rPr>
            <sz val="11"/>
            <color theme="1"/>
            <rFont val="Aptos Narrow"/>
            <family val="2"/>
            <charset val="204"/>
            <scheme val="minor"/>
          </rPr>
          <t>[Threaded comment]
Your application allows you to read this threaded comment; however, any edits to it will get removed if the file is opened in a latest version of Excel.
Comment:
		Автор:
Т Е П Л О З АЩ И Т Н Ы Е С В О Й С Т В А
О Г Р АЖ Д АЮ Щ И Х К О Н СТ Р У К Ц И Й
ЗД А Н И Й с т о
00044807-
001-2006</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tc={F5CB2759-F9FD-4CEB-A635-A9727F074A79}</author>
  </authors>
  <commentList>
    <comment ref="P3" authorId="0" shapeId="0" xr:uid="{F5CB2759-F9FD-4CEB-A635-A9727F074A79}">
      <text>
        <r>
          <rPr>
            <sz val="11"/>
            <color theme="1"/>
            <rFont val="Aptos Narrow"/>
            <family val="2"/>
            <charset val="204"/>
            <scheme val="minor"/>
          </rPr>
          <t>[Threaded comment]
Your application allows you to read this threaded comment; however, any edits to it will get removed if the file is opened in a latest version of Excel.
Comment:
		Автор:
1 Мг =1 тонна</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tc={D511CE38-F191-47D9-801A-B4071A650015}</author>
    <author>tc={0B4CE952-C7C3-40C7-B0D3-7521CEDA941C}</author>
    <author>tc={CE5EB72D-A092-470C-A63D-3DC8F8BB5E2A}</author>
    <author>tc={228B09F3-1079-4070-9125-555F841E56B2}</author>
    <author>tc={1AFF36A0-24E5-4CB9-8A04-2B695A6F6DBA}</author>
  </authors>
  <commentList>
    <comment ref="A3" authorId="0" shapeId="0" xr:uid="{D511CE38-F191-47D9-801A-B4071A650015}">
      <text>
        <r>
          <rPr>
            <sz val="11"/>
            <color theme="1"/>
            <rFont val="Aptos Narrow"/>
            <family val="2"/>
            <charset val="204"/>
            <scheme val="minor"/>
          </rPr>
          <t>[Threaded comment]
Your application allows you to read this threaded comment; however, any edits to it will get removed if the file is opened in a latest version of Excel.
Comment:
		Масса образованных остатков типа T на местах заготовки в год y (ПТД)</t>
        </r>
      </text>
    </comment>
    <comment ref="A4" authorId="1" shapeId="0" xr:uid="{0B4CE952-C7C3-40C7-B0D3-7521CEDA941C}">
      <text>
        <r>
          <rPr>
            <sz val="11"/>
            <color theme="1"/>
            <rFont val="Aptos Narrow"/>
            <family val="2"/>
            <charset val="204"/>
            <scheme val="minor"/>
          </rPr>
          <t>[Threaded comment]
Your application allows you to read this threaded comment; however, any edits to it will get removed if the file is opened in a latest version of Excel.
Comment:
		Поступление C с остатками типа T, которые образуются на местах заготовки в год y (ПТД)</t>
        </r>
      </text>
    </comment>
    <comment ref="S4" authorId="2" shapeId="0" xr:uid="{CE5EB72D-A092-470C-A63D-3DC8F8BB5E2A}">
      <text>
        <r>
          <rPr>
            <sz val="11"/>
            <color theme="1"/>
            <rFont val="Aptos Narrow"/>
            <family val="2"/>
            <charset val="204"/>
            <scheme val="minor"/>
          </rPr>
          <t>[Threaded comment]
Your application allows you to read this threaded comment; however, any edits to it will get removed if the file is opened in a latest version of Excel.
Comment:
		Nicolas Hofmann, Theresa Mendel, Fabian Schulmeyer, Daniel Kuptz, Herbert Borchert, Hans Hartmann, Drying effects and dry matter losses during seasonal storage of spruce wood chips under practical conditions, Biomass and Bioenergy, Volume 111, 2018, Pages 196-205, ISSN 0961-9534, https://doi.org/10.1016/j.biombioe.2017.03.022</t>
        </r>
      </text>
    </comment>
    <comment ref="A5" authorId="3" shapeId="0" xr:uid="{228B09F3-1079-4070-9125-555F841E56B2}">
      <text>
        <r>
          <rPr>
            <sz val="11"/>
            <color theme="1"/>
            <rFont val="Aptos Narrow"/>
            <family val="2"/>
            <charset val="204"/>
            <scheme val="minor"/>
          </rPr>
          <t>[Threaded comment]
Your application allows you to read this threaded comment; however, any edits to it will get removed if the file is opened in a latest version of Excel.
Comment:
		Запас С в пуле остатков типа T, которые складируются на местах заготовки в год y (ПТД)</t>
        </r>
      </text>
    </comment>
    <comment ref="A6" authorId="4" shapeId="0" xr:uid="{1AFF36A0-24E5-4CB9-8A04-2B695A6F6DBA}">
      <text>
        <r>
          <rPr>
            <sz val="11"/>
            <color theme="1"/>
            <rFont val="Aptos Narrow"/>
            <family val="2"/>
            <charset val="204"/>
            <scheme val="minor"/>
          </rPr>
          <t>[Threaded comment]
Your application allows you to read this threaded comment; however, any edits to it will get removed if the file is opened in a latest version of Excel.
Comment:
		Суммарное накопление углерода в пуле остатков типа T в базовой линии</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tc={816990FA-D45B-4845-898C-C1447F2C686A}</author>
    <author>tc={56F5264F-FF17-4E01-AE81-78E8601B803D}</author>
    <author>tc={7B7C8952-766F-4521-AD50-F8510DCE9BEB}</author>
    <author>tc={4953C70E-3DE1-407E-A83F-7956883EEE8C}</author>
  </authors>
  <commentList>
    <comment ref="A3" authorId="0" shapeId="0" xr:uid="{816990FA-D45B-4845-898C-C1447F2C686A}">
      <text>
        <r>
          <rPr>
            <sz val="11"/>
            <color theme="1"/>
            <rFont val="Aptos Narrow"/>
            <family val="2"/>
            <charset val="204"/>
            <scheme val="minor"/>
          </rPr>
          <t>[Threaded comment]
Your application allows you to read this threaded comment; however, any edits to it will get removed if the file is opened in a latest version of Excel.
Comment:
		Масса остатков типа T в год y (ПТД)</t>
        </r>
      </text>
    </comment>
    <comment ref="A4" authorId="1" shapeId="0" xr:uid="{56F5264F-FF17-4E01-AE81-78E8601B803D}">
      <text>
        <r>
          <rPr>
            <sz val="11"/>
            <color theme="1"/>
            <rFont val="Aptos Narrow"/>
            <family val="2"/>
            <charset val="204"/>
            <scheme val="minor"/>
          </rPr>
          <t>[Threaded comment]
Your application allows you to read this threaded comment; however, any edits to it will get removed if the file is opened in a latest version of Excel.
Comment:
		Поступление C с остатками типа T, которые используются в качестве сырья при производстве строительных материалов в проектном сценарии в год y</t>
        </r>
      </text>
    </comment>
    <comment ref="S4" authorId="2" shapeId="0" xr:uid="{7B7C8952-766F-4521-AD50-F8510DCE9BEB}">
      <text>
        <r>
          <rPr>
            <sz val="11"/>
            <color theme="1"/>
            <rFont val="Aptos Narrow"/>
            <family val="2"/>
            <charset val="204"/>
            <scheme val="minor"/>
          </rPr>
          <t>[Threaded comment]
Your application allows you to read this threaded comment; however, any edits to it will get removed if the file is opened in a latest version of Excel.
Comment:
		Nicolas Hofmann, Theresa Mendel, Fabian Schulmeyer, Daniel Kuptz, Herbert Borchert, Hans Hartmann, Drying effects and dry matter losses during seasonal storage of spruce wood chips under practical conditions, Biomass and Bioenergy, Volume 111, 2018, Pages 196-205, ISSN 0961-9534, https://doi.org/10.1016/j.biombioe.2017.03.022</t>
        </r>
      </text>
    </comment>
    <comment ref="A6" authorId="3" shapeId="0" xr:uid="{4953C70E-3DE1-407E-A83F-7956883EEE8C}">
      <text>
        <r>
          <rPr>
            <sz val="11"/>
            <color theme="1"/>
            <rFont val="Aptos Narrow"/>
            <family val="2"/>
            <charset val="204"/>
            <scheme val="minor"/>
          </rPr>
          <t>[Threaded comment]
Your application allows you to read this threaded comment; however, any edits to it will get removed if the file is opened in a latest version of Excel.
Comment:
		Хранение углерода в пуле остатков типа T (ПТД)</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tc={AD941FDD-00FB-432D-BF07-B2C49A87E5C9}</author>
  </authors>
  <commentList>
    <comment ref="A5" authorId="0" shapeId="0" xr:uid="{AD941FDD-00FB-432D-BF07-B2C49A87E5C9}">
      <text>
        <r>
          <rPr>
            <sz val="11"/>
            <color theme="1"/>
            <rFont val="Aptos Narrow"/>
            <family val="2"/>
            <charset val="204"/>
            <scheme val="minor"/>
          </rPr>
          <t>[Threaded comment]
Your application allows you to read this threaded comment; however, any edits to it will get removed if the file is opened in a latest version of Excel.
Comment:
		Год использования биомассы вместо складирования</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tc={EF25BFFC-AAC4-4931-893F-C6E2BF0FFB04}</author>
    <author>tc={70DB6649-7706-448C-A814-ABD62C3ECB79}</author>
  </authors>
  <commentList>
    <comment ref="A23" authorId="0" shapeId="0" xr:uid="{EF25BFFC-AAC4-4931-893F-C6E2BF0FFB04}">
      <text>
        <r>
          <rPr>
            <sz val="11"/>
            <color theme="1"/>
            <rFont val="Aptos Narrow"/>
            <family val="2"/>
            <charset val="204"/>
            <scheme val="minor"/>
          </rPr>
          <t>[Threaded comment]
Your version of Excel allows you to read this threaded comment; however, any edits to it will get removed if the file is opened in a newer version of Excel. Learn more: https://go.microsoft.com/fwlink/?linkid=870924
Comment:
    Методологический инструмент: «Выбросы по проекту и в результате утечек при транспортировке грузов», редакция 01.1, Инструмент 12</t>
        </r>
      </text>
    </comment>
    <comment ref="A27" authorId="1" shapeId="0" xr:uid="{70DB6649-7706-448C-A814-ABD62C3ECB79}">
      <text>
        <r>
          <rPr>
            <sz val="11"/>
            <color theme="1"/>
            <rFont val="Aptos Narrow"/>
            <family val="2"/>
            <charset val="204"/>
            <scheme val="minor"/>
          </rPr>
          <t>[Threaded comment]
Your version of Excel allows you to read this threaded comment; however, any edits to it will get removed if the file is opened in a newer version of Excel. Learn more: https://go.microsoft.com/fwlink/?linkid=870924
Comment:
    https://www.aac-worldwide.com/category/application-construction/autoclaved-aerated-concrete-in-sustainable-construction-2327</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tc={5DFDC1BD-AC6C-4E6F-A558-C96FA7514BE9}</author>
    <author>tc={55D701C5-0221-4551-886A-5943108D0EF8}</author>
    <author>tc={FA809DBC-9631-4DA0-869F-B33938E3AE2F}</author>
  </authors>
  <commentList>
    <comment ref="D5" authorId="0" shapeId="0" xr:uid="{5DFDC1BD-AC6C-4E6F-A558-C96FA7514BE9}">
      <text>
        <r>
          <rPr>
            <sz val="11"/>
            <color theme="1"/>
            <rFont val="Aptos Narrow"/>
            <family val="2"/>
            <charset val="204"/>
            <scheme val="minor"/>
          </rPr>
          <t>[Threaded comment]
Your version of Excel allows you to read this threaded comment; however, any edits to it will get removed if the file is opened in a newer version of Excel. Learn more: https://go.microsoft.com/fwlink/?linkid=870924
Comment:
    Учтен на этапе оценок выбросов от электроэнергии</t>
        </r>
      </text>
    </comment>
    <comment ref="A19" authorId="1" shapeId="0" xr:uid="{55D701C5-0221-4551-886A-5943108D0EF8}">
      <text>
        <r>
          <rPr>
            <sz val="11"/>
            <color theme="1"/>
            <rFont val="Aptos Narrow"/>
            <family val="2"/>
            <charset val="204"/>
            <scheme val="minor"/>
          </rPr>
          <t>[Threaded comment]
Your version of Excel allows you to read this threaded comment; however, any edits to it will get removed if the file is opened in a newer version of Excel. Learn more: https://go.microsoft.com/fwlink/?linkid=870924
Comment:
    Методологический инструмент: «Выбросы по проекту и в результате утечек при транспортировке грузов», редакция 01.1, Инструмент 12</t>
        </r>
      </text>
    </comment>
    <comment ref="A23" authorId="2" shapeId="0" xr:uid="{FA809DBC-9631-4DA0-869F-B33938E3AE2F}">
      <text>
        <r>
          <rPr>
            <sz val="11"/>
            <color theme="1"/>
            <rFont val="Aptos Narrow"/>
            <family val="2"/>
            <charset val="204"/>
            <scheme val="minor"/>
          </rPr>
          <t>[Threaded comment]
Your version of Excel allows you to read this threaded comment; however, any edits to it will get removed if the file is opened in a newer version of Excel. Learn more: https://go.microsoft.com/fwlink/?linkid=870924
Comment:
    13492-ИОС1 Том 5.1. Таблица 2</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<sst xmlns="http://schemas.openxmlformats.org/spreadsheetml/2006/main" count="547" uniqueCount="318">
  <si>
    <t xml:space="preserve"> % добавки растительных отходов</t>
  </si>
  <si>
    <t>Ежегодное количество производимых блоков,м3</t>
  </si>
  <si>
    <t>Объём остатков,используемый в блоках ежегодно,м3</t>
  </si>
  <si>
    <t>Плотность костры(средняя),кг/м3</t>
  </si>
  <si>
    <t>Сi- содержание углерода в биомассе культуры,кг С/кг сух.в-ва</t>
  </si>
  <si>
    <t>MCF (Поправочный коэффициент CH4 для анаэробного разложения в год помещения на свалку)</t>
  </si>
  <si>
    <t>DOC-способный к разложению органический углерод в год удаления на свалку,доля</t>
  </si>
  <si>
    <t>DOC-F, доля фактически разложившегося способного к разложению органического углерода</t>
  </si>
  <si>
    <t>(-k),константа скорости разложения</t>
  </si>
  <si>
    <t>F,доля CH4 в газе, образованном на свалках</t>
  </si>
  <si>
    <t>Года</t>
  </si>
  <si>
    <t>Количество, Wj,x  (т) (при 0% АТ)</t>
  </si>
  <si>
    <t>Total</t>
  </si>
  <si>
    <t>Variable</t>
  </si>
  <si>
    <t>Name</t>
  </si>
  <si>
    <t>Default value</t>
  </si>
  <si>
    <t xml:space="preserve">φ </t>
  </si>
  <si>
    <t>Поправочный коэффициент модели для учета неопределённости за год, y</t>
  </si>
  <si>
    <t xml:space="preserve">f </t>
  </si>
  <si>
    <t>Фракция метана, улавливаемая на свалке</t>
  </si>
  <si>
    <t xml:space="preserve">Потенциал глобального потепления для метана </t>
  </si>
  <si>
    <t xml:space="preserve">OX </t>
  </si>
  <si>
    <t>Коэффициент окисления</t>
  </si>
  <si>
    <t xml:space="preserve">F </t>
  </si>
  <si>
    <t>Фракция метана, в свалочном газе</t>
  </si>
  <si>
    <t>Доля способного к разложению органического углерода</t>
  </si>
  <si>
    <t xml:space="preserve">MCF </t>
  </si>
  <si>
    <t>Поправочный коэффициент для метана</t>
  </si>
  <si>
    <t>Скорость разложения отходов типа,j</t>
  </si>
  <si>
    <t>ИТОГО</t>
  </si>
  <si>
    <t>Механизм "Удаление"</t>
  </si>
  <si>
    <t xml:space="preserve">Фракция разлагаемого углерода в отходах типа j </t>
  </si>
  <si>
    <t>Выбросы от производства Газобетон</t>
  </si>
  <si>
    <t>Состав, % масс.</t>
  </si>
  <si>
    <r>
      <t>GWP</t>
    </r>
    <r>
      <rPr>
        <vertAlign val="subscript"/>
        <sz val="11"/>
        <rFont val="Aptos Narrow"/>
        <family val="2"/>
        <scheme val="minor"/>
      </rPr>
      <t xml:space="preserve">CH4 </t>
    </r>
  </si>
  <si>
    <r>
      <t>DOC</t>
    </r>
    <r>
      <rPr>
        <vertAlign val="subscript"/>
        <sz val="11"/>
        <rFont val="Aptos Narrow"/>
        <family val="2"/>
        <scheme val="minor"/>
      </rPr>
      <t xml:space="preserve">f </t>
    </r>
  </si>
  <si>
    <r>
      <t>DOC</t>
    </r>
    <r>
      <rPr>
        <vertAlign val="subscript"/>
        <sz val="11"/>
        <rFont val="Aptos Narrow"/>
        <family val="2"/>
        <scheme val="minor"/>
      </rPr>
      <t xml:space="preserve">j </t>
    </r>
  </si>
  <si>
    <r>
      <t>k</t>
    </r>
    <r>
      <rPr>
        <vertAlign val="subscript"/>
        <sz val="11"/>
        <rFont val="Aptos Narrow"/>
        <family val="2"/>
        <scheme val="minor"/>
      </rPr>
      <t xml:space="preserve">j </t>
    </r>
  </si>
  <si>
    <r>
      <t>Выбросы CH</t>
    </r>
    <r>
      <rPr>
        <b/>
        <vertAlign val="subscript"/>
        <sz val="11"/>
        <rFont val="Aptos Narrow"/>
        <family val="2"/>
        <scheme val="minor"/>
      </rPr>
      <t>4</t>
    </r>
    <r>
      <rPr>
        <b/>
        <sz val="11"/>
        <rFont val="Aptos Narrow"/>
        <family val="2"/>
        <scheme val="minor"/>
      </rPr>
      <t xml:space="preserve"> (CO</t>
    </r>
    <r>
      <rPr>
        <b/>
        <vertAlign val="subscript"/>
        <sz val="11"/>
        <rFont val="Aptos Narrow"/>
        <family val="2"/>
        <scheme val="minor"/>
      </rPr>
      <t>2</t>
    </r>
    <r>
      <rPr>
        <b/>
        <sz val="11"/>
        <rFont val="Aptos Narrow"/>
        <family val="2"/>
        <scheme val="minor"/>
      </rPr>
      <t>-экв)</t>
    </r>
  </si>
  <si>
    <r>
      <t>Выбросы CO</t>
    </r>
    <r>
      <rPr>
        <vertAlign val="subscript"/>
        <sz val="11"/>
        <rFont val="Aptos Narrow"/>
        <family val="2"/>
        <scheme val="minor"/>
      </rPr>
      <t>2</t>
    </r>
  </si>
  <si>
    <t>Цемент</t>
  </si>
  <si>
    <t>Песок</t>
  </si>
  <si>
    <t>Алюминиевая пудра/паста</t>
  </si>
  <si>
    <t>Гипс</t>
  </si>
  <si>
    <t>Каустическая сода</t>
  </si>
  <si>
    <r>
      <t>Планируемая мощность производства в год, м</t>
    </r>
    <r>
      <rPr>
        <vertAlign val="superscript"/>
        <sz val="11"/>
        <color theme="1"/>
        <rFont val="Aptos Narrow"/>
        <family val="2"/>
        <scheme val="minor"/>
      </rPr>
      <t>3</t>
    </r>
  </si>
  <si>
    <r>
      <t>Плотность блоков, кг/м</t>
    </r>
    <r>
      <rPr>
        <vertAlign val="superscript"/>
        <sz val="11"/>
        <color theme="1"/>
        <rFont val="Aptos Narrow"/>
        <family val="2"/>
        <scheme val="minor"/>
      </rPr>
      <t>3</t>
    </r>
  </si>
  <si>
    <r>
      <t>GWP, кг CO</t>
    </r>
    <r>
      <rPr>
        <vertAlign val="subscript"/>
        <sz val="11"/>
        <rFont val="Aptos Narrow"/>
        <family val="2"/>
        <scheme val="minor"/>
      </rPr>
      <t>2</t>
    </r>
    <r>
      <rPr>
        <sz val="11"/>
        <rFont val="Aptos Narrow"/>
        <family val="2"/>
        <scheme val="minor"/>
      </rPr>
      <t>/т</t>
    </r>
  </si>
  <si>
    <t>Требуемое сырье для производства газобетона, т</t>
  </si>
  <si>
    <t>Планируемая мощность производства в год, т</t>
  </si>
  <si>
    <t>Выбросы от траснпорта сырья до завода</t>
  </si>
  <si>
    <r>
      <t>Установленный коэффициент выбросов CO</t>
    </r>
    <r>
      <rPr>
        <vertAlign val="subscript"/>
        <sz val="11"/>
        <color theme="1"/>
        <rFont val="Aptos Narrow"/>
        <family val="2"/>
        <scheme val="minor"/>
      </rPr>
      <t>2</t>
    </r>
    <r>
      <rPr>
        <sz val="11"/>
        <color theme="1"/>
        <rFont val="Aptos Narrow"/>
        <family val="2"/>
        <charset val="204"/>
        <scheme val="minor"/>
      </rPr>
      <t xml:space="preserve"> для деятельности по транспортировке грузов, кг CO</t>
    </r>
    <r>
      <rPr>
        <vertAlign val="subscript"/>
        <sz val="11"/>
        <color theme="1"/>
        <rFont val="Aptos Narrow"/>
        <family val="2"/>
        <scheme val="minor"/>
      </rPr>
      <t>2</t>
    </r>
    <r>
      <rPr>
        <sz val="11"/>
        <color theme="1"/>
        <rFont val="Aptos Narrow"/>
        <family val="2"/>
        <charset val="204"/>
        <scheme val="minor"/>
      </rPr>
      <t>/т км</t>
    </r>
  </si>
  <si>
    <t>Максимальное расстояние, км</t>
  </si>
  <si>
    <t>Выбросы от электроэнергии</t>
  </si>
  <si>
    <t>Количество смен в год</t>
  </si>
  <si>
    <t>Длительность смены</t>
  </si>
  <si>
    <t>Годовое энергопотребление, МВт*ч</t>
  </si>
  <si>
    <r>
      <t>Региональные коэффициенты выбросов парниковых газов, т CO</t>
    </r>
    <r>
      <rPr>
        <vertAlign val="subscript"/>
        <sz val="11"/>
        <color theme="1"/>
        <rFont val="Aptos Narrow"/>
        <family val="2"/>
        <scheme val="minor"/>
      </rPr>
      <t>2</t>
    </r>
    <r>
      <rPr>
        <sz val="11"/>
        <color theme="1"/>
        <rFont val="Aptos Narrow"/>
        <family val="2"/>
        <charset val="204"/>
        <scheme val="minor"/>
      </rPr>
      <t>/МВт*ч</t>
    </r>
  </si>
  <si>
    <r>
      <t>Углеродный след от сырья, т CO</t>
    </r>
    <r>
      <rPr>
        <vertAlign val="subscript"/>
        <sz val="11"/>
        <color theme="1"/>
        <rFont val="Aptos Narrow"/>
        <family val="2"/>
        <scheme val="minor"/>
      </rPr>
      <t>2</t>
    </r>
  </si>
  <si>
    <r>
      <t>Выбросы от транспорта до производства, т CO</t>
    </r>
    <r>
      <rPr>
        <vertAlign val="subscript"/>
        <sz val="11"/>
        <color theme="1"/>
        <rFont val="Aptos Narrow"/>
        <family val="2"/>
        <scheme val="minor"/>
      </rPr>
      <t>2</t>
    </r>
  </si>
  <si>
    <r>
      <t>Косвенные выбросы от электроэнергии, т CO</t>
    </r>
    <r>
      <rPr>
        <vertAlign val="subscript"/>
        <sz val="11"/>
        <color theme="1"/>
        <rFont val="Aptos Narrow"/>
        <family val="2"/>
        <scheme val="minor"/>
      </rPr>
      <t>2</t>
    </r>
  </si>
  <si>
    <r>
      <t>Выбросы ПГ по модулям A1-A3 при производстве газобетона, т CO</t>
    </r>
    <r>
      <rPr>
        <vertAlign val="subscript"/>
        <sz val="11"/>
        <color theme="1"/>
        <rFont val="Aptos Narrow"/>
        <family val="2"/>
        <scheme val="minor"/>
      </rPr>
      <t>2</t>
    </r>
  </si>
  <si>
    <r>
      <t>Углеродный след газобетона A1-A3, кг CO</t>
    </r>
    <r>
      <rPr>
        <vertAlign val="subscript"/>
        <sz val="11"/>
        <color theme="1"/>
        <rFont val="Aptos Narrow"/>
        <family val="2"/>
        <scheme val="minor"/>
      </rPr>
      <t>2</t>
    </r>
    <r>
      <rPr>
        <sz val="11"/>
        <color theme="1"/>
        <rFont val="Aptos Narrow"/>
        <family val="2"/>
        <charset val="204"/>
        <scheme val="minor"/>
      </rPr>
      <t>/м</t>
    </r>
    <r>
      <rPr>
        <vertAlign val="superscript"/>
        <sz val="11"/>
        <color theme="1"/>
        <rFont val="Aptos Narrow"/>
        <family val="2"/>
        <scheme val="minor"/>
      </rPr>
      <t>3</t>
    </r>
  </si>
  <si>
    <r>
      <t>Удельные потребление электроэнергии на производство газобетона, кВт*ч/м</t>
    </r>
    <r>
      <rPr>
        <vertAlign val="superscript"/>
        <sz val="11"/>
        <color theme="1"/>
        <rFont val="Aptos Narrow"/>
        <family val="2"/>
        <scheme val="minor"/>
      </rPr>
      <t>3</t>
    </r>
  </si>
  <si>
    <t>Щепа</t>
  </si>
  <si>
    <t>Сульфат алюминия</t>
  </si>
  <si>
    <t>Максимальная потребляемая мощность, кВт</t>
  </si>
  <si>
    <t>Выбросы от производства Арболита</t>
  </si>
  <si>
    <t>Годы кредитного периода</t>
  </si>
  <si>
    <t>Базовая линия</t>
  </si>
  <si>
    <t>Масса образованных порубочных остатков для вывоза, тонны</t>
  </si>
  <si>
    <t>Масса порубочных остатков,которые сжигаются (50%), тонн</t>
  </si>
  <si>
    <t>Объём порубочных остатков,которые остаются на местах заготовки (50%), м3</t>
  </si>
  <si>
    <t>Поступление С в пул порубочных остатков, тонн С</t>
  </si>
  <si>
    <t>Запас С в пуле порубочных остатков, тонн С</t>
  </si>
  <si>
    <t>Изменение запасов  С в пуле порубочных остатков, тонн С</t>
  </si>
  <si>
    <t>Коэффициенты</t>
  </si>
  <si>
    <t>Средняя плотность древесных отходов (в кг/м³)</t>
  </si>
  <si>
    <t>IPCC, 2019.TABLE 12.2</t>
  </si>
  <si>
    <t xml:space="preserve">C conversion factor cf (per air dry
volume) [Mg C / m3] </t>
  </si>
  <si>
    <t>МГЭИК,2006.Том 4,глава 2 ,ТАБЛИЦА 2.5</t>
  </si>
  <si>
    <r>
      <t xml:space="preserve"> коэффициент выбросов Gef</t>
    </r>
    <r>
      <rPr>
        <i/>
        <sz val="10"/>
        <color theme="1"/>
        <rFont val="Aptos Narrow"/>
        <family val="2"/>
        <charset val="204"/>
        <scheme val="minor"/>
      </rPr>
      <t>CO2, г/кг сжигаемого сухого вещества</t>
    </r>
    <r>
      <rPr>
        <i/>
        <sz val="10"/>
        <color theme="1"/>
        <rFont val="KaTeX_Math"/>
      </rPr>
      <t xml:space="preserve">
​</t>
    </r>
  </si>
  <si>
    <r>
      <t xml:space="preserve"> коэффициент выбросов Gef</t>
    </r>
    <r>
      <rPr>
        <i/>
        <sz val="10"/>
        <color theme="1"/>
        <rFont val="Aptos Narrow"/>
        <family val="2"/>
        <charset val="204"/>
        <scheme val="minor"/>
      </rPr>
      <t>CH4, г/кг сжигаемого сухого вещества</t>
    </r>
    <r>
      <rPr>
        <i/>
        <sz val="10"/>
        <color theme="1"/>
        <rFont val="KaTeX_Math"/>
      </rPr>
      <t xml:space="preserve">
​</t>
    </r>
  </si>
  <si>
    <t>МГЭИК,2006. Том 4,глава 2 ,ТАБЛИЦА 2.5</t>
  </si>
  <si>
    <r>
      <t xml:space="preserve"> коэффициент выбросов Gef</t>
    </r>
    <r>
      <rPr>
        <i/>
        <sz val="10"/>
        <color theme="1"/>
        <rFont val="Aptos Narrow"/>
        <family val="2"/>
        <charset val="204"/>
        <scheme val="minor"/>
      </rPr>
      <t>N2O, г/кг сжигаемого сухого вещества</t>
    </r>
    <r>
      <rPr>
        <i/>
        <sz val="10"/>
        <color theme="1"/>
        <rFont val="KaTeX_Math"/>
      </rPr>
      <t xml:space="preserve">
​</t>
    </r>
  </si>
  <si>
    <t>МГЭИК,2006 .Том 4,глава 2 ,ТАБЛИЦА 2.6</t>
  </si>
  <si>
    <t>Cf, коэффициент сгорания; не имеет размерности</t>
  </si>
  <si>
    <t>IPCC, 2019</t>
  </si>
  <si>
    <t>постоянная реакции k</t>
  </si>
  <si>
    <t>МГЭИК,2006 (Том 5, таблица 3.4 - среднее для арктической и умеренной зоны)</t>
  </si>
  <si>
    <t>half-life</t>
  </si>
  <si>
    <t>Coefficients for stock eq.(IPCC, 2019)</t>
  </si>
  <si>
    <t>exp(-k)</t>
  </si>
  <si>
    <t>(1-exp(-k))/k</t>
  </si>
  <si>
    <t>Расчетный</t>
  </si>
  <si>
    <t>Среднее значение поступления С в пул порубочных остатков,необходимое для расчетов последнего года базовой линии</t>
  </si>
  <si>
    <t>Расчетное значение запаса С на основе среднего сзначение поступления С в пул порубочных остатков базовой линии</t>
  </si>
  <si>
    <r>
      <t>Выбросы, тонн СО</t>
    </r>
    <r>
      <rPr>
        <vertAlign val="subscript"/>
        <sz val="11"/>
        <color theme="1"/>
        <rFont val="Aptos Narrow"/>
        <family val="2"/>
        <scheme val="minor"/>
      </rPr>
      <t>2</t>
    </r>
    <r>
      <rPr>
        <sz val="11"/>
        <color theme="1"/>
        <rFont val="Aptos Narrow"/>
        <family val="2"/>
        <charset val="204"/>
        <scheme val="minor"/>
      </rPr>
      <t>-экв</t>
    </r>
  </si>
  <si>
    <r>
      <t>Выбросы от разложения порубочных остатков,тонн СО</t>
    </r>
    <r>
      <rPr>
        <vertAlign val="subscript"/>
        <sz val="11"/>
        <color theme="1"/>
        <rFont val="Aptos Narrow"/>
        <family val="2"/>
        <scheme val="minor"/>
      </rPr>
      <t>2</t>
    </r>
    <r>
      <rPr>
        <sz val="11"/>
        <color theme="1"/>
        <rFont val="Aptos Narrow"/>
        <family val="2"/>
        <charset val="204"/>
        <scheme val="minor"/>
      </rPr>
      <t>-экв</t>
    </r>
  </si>
  <si>
    <r>
      <t>Выбросы от сжигания порубочных остатков,тонн СО</t>
    </r>
    <r>
      <rPr>
        <vertAlign val="subscript"/>
        <sz val="11"/>
        <color theme="1"/>
        <rFont val="Aptos Narrow"/>
        <family val="2"/>
        <scheme val="minor"/>
      </rPr>
      <t>2</t>
    </r>
    <r>
      <rPr>
        <sz val="11"/>
        <color theme="1"/>
        <rFont val="Aptos Narrow"/>
        <family val="2"/>
        <charset val="204"/>
        <scheme val="minor"/>
      </rPr>
      <t>-экв</t>
    </r>
  </si>
  <si>
    <r>
      <t>Объём порубочных остатков,всего, м</t>
    </r>
    <r>
      <rPr>
        <vertAlign val="superscript"/>
        <sz val="11"/>
        <color theme="1"/>
        <rFont val="Aptos Narrow"/>
        <family val="2"/>
        <scheme val="minor"/>
      </rPr>
      <t>3</t>
    </r>
  </si>
  <si>
    <t>Период кредитования</t>
  </si>
  <si>
    <t>Количество захороненных отходов, т</t>
  </si>
  <si>
    <t>Требуемое сырье для производства арболита, т</t>
  </si>
  <si>
    <r>
      <t>Выбросы ПГ, CO</t>
    </r>
    <r>
      <rPr>
        <vertAlign val="subscript"/>
        <sz val="11"/>
        <color theme="1"/>
        <rFont val="Aptos Narrow"/>
        <family val="2"/>
        <scheme val="minor"/>
      </rPr>
      <t>2</t>
    </r>
    <r>
      <rPr>
        <sz val="11"/>
        <color theme="1"/>
        <rFont val="Aptos Narrow"/>
        <family val="2"/>
        <charset val="204"/>
        <scheme val="minor"/>
      </rPr>
      <t>-экв.</t>
    </r>
  </si>
  <si>
    <r>
      <t>Захоронение C в полигоне, т CO</t>
    </r>
    <r>
      <rPr>
        <vertAlign val="subscript"/>
        <sz val="11"/>
        <color theme="1"/>
        <rFont val="Aptos Narrow"/>
        <family val="2"/>
        <scheme val="minor"/>
      </rPr>
      <t>2</t>
    </r>
    <r>
      <rPr>
        <sz val="11"/>
        <color theme="1"/>
        <rFont val="Aptos Narrow"/>
        <family val="2"/>
        <charset val="204"/>
        <scheme val="minor"/>
      </rPr>
      <t>-экв.</t>
    </r>
  </si>
  <si>
    <t>Вариант 1 (вывоз щепы в полигоны)</t>
  </si>
  <si>
    <t>Вариант 2 (мульчирование и сжигание на месте)</t>
  </si>
  <si>
    <r>
      <t>Нетто выбросы, т CO</t>
    </r>
    <r>
      <rPr>
        <vertAlign val="subscript"/>
        <sz val="11"/>
        <color theme="1"/>
        <rFont val="Aptos Narrow"/>
        <family val="2"/>
        <scheme val="minor"/>
      </rPr>
      <t>2</t>
    </r>
    <r>
      <rPr>
        <sz val="11"/>
        <color theme="1"/>
        <rFont val="Aptos Narrow"/>
        <family val="2"/>
        <charset val="204"/>
        <scheme val="minor"/>
      </rPr>
      <t xml:space="preserve"> экв.</t>
    </r>
  </si>
  <si>
    <r>
      <t>Выбросы от производства газобетона, т CO</t>
    </r>
    <r>
      <rPr>
        <vertAlign val="subscript"/>
        <sz val="11"/>
        <color theme="1"/>
        <rFont val="Aptos Narrow"/>
        <family val="2"/>
        <scheme val="minor"/>
      </rPr>
      <t>2</t>
    </r>
    <r>
      <rPr>
        <sz val="11"/>
        <color theme="1"/>
        <rFont val="Aptos Narrow"/>
        <family val="2"/>
        <charset val="204"/>
        <scheme val="minor"/>
      </rPr>
      <t xml:space="preserve"> экв.</t>
    </r>
  </si>
  <si>
    <t>Функциональная единица</t>
  </si>
  <si>
    <t>1 м² стены</t>
  </si>
  <si>
    <r>
      <t xml:space="preserve">Коэффициент теплопроводности материала </t>
    </r>
    <r>
      <rPr>
        <sz val="11"/>
        <color theme="1"/>
        <rFont val="Aptos Narrow"/>
        <family val="2"/>
      </rPr>
      <t>α</t>
    </r>
    <r>
      <rPr>
        <sz val="11"/>
        <color theme="1"/>
        <rFont val="Aptos Narrow"/>
        <family val="2"/>
        <charset val="204"/>
        <scheme val="minor"/>
      </rPr>
      <t>, Вт/(м· С°).</t>
    </r>
  </si>
  <si>
    <t>Сопротивления теплопередаче R, м²·С°/Вт</t>
  </si>
  <si>
    <t>Требуемая тольщина стены, м</t>
  </si>
  <si>
    <r>
      <t>Площадь проектной стены, м</t>
    </r>
    <r>
      <rPr>
        <vertAlign val="superscript"/>
        <sz val="11"/>
        <color theme="1"/>
        <rFont val="Aptos Narrow"/>
        <family val="2"/>
        <scheme val="minor"/>
      </rPr>
      <t>2</t>
    </r>
  </si>
  <si>
    <r>
      <t>Необходимый объем производства для эквивалентной стены из арболита, м</t>
    </r>
    <r>
      <rPr>
        <vertAlign val="superscript"/>
        <sz val="11"/>
        <color theme="1"/>
        <rFont val="Aptos Narrow"/>
        <family val="2"/>
        <scheme val="minor"/>
      </rPr>
      <t>3</t>
    </r>
  </si>
  <si>
    <r>
      <t>Нетто выбросы от базовой линии (Мульчирование и сжигание), т CO</t>
    </r>
    <r>
      <rPr>
        <vertAlign val="subscript"/>
        <sz val="11"/>
        <color theme="1"/>
        <rFont val="Aptos Narrow"/>
        <family val="2"/>
        <scheme val="minor"/>
      </rPr>
      <t>2</t>
    </r>
    <r>
      <rPr>
        <sz val="11"/>
        <color theme="1"/>
        <rFont val="Aptos Narrow"/>
        <family val="2"/>
        <charset val="204"/>
        <scheme val="minor"/>
      </rPr>
      <t>-экв.</t>
    </r>
  </si>
  <si>
    <r>
      <t>Нетто выбросы от базовой линии (Захоронение щепы в полигоне), т CO</t>
    </r>
    <r>
      <rPr>
        <vertAlign val="subscript"/>
        <sz val="11"/>
        <color theme="1"/>
        <rFont val="Aptos Narrow"/>
        <family val="2"/>
        <scheme val="minor"/>
      </rPr>
      <t>2</t>
    </r>
    <r>
      <rPr>
        <sz val="11"/>
        <color theme="1"/>
        <rFont val="Aptos Narrow"/>
        <family val="2"/>
        <charset val="204"/>
        <scheme val="minor"/>
      </rPr>
      <t>-экв.</t>
    </r>
  </si>
  <si>
    <r>
      <t>Нетто выбросы от проектной линии, т CO</t>
    </r>
    <r>
      <rPr>
        <vertAlign val="subscript"/>
        <sz val="11"/>
        <color theme="1"/>
        <rFont val="Aptos Narrow"/>
        <family val="2"/>
        <scheme val="minor"/>
      </rPr>
      <t>2</t>
    </r>
    <r>
      <rPr>
        <sz val="11"/>
        <color theme="1"/>
        <rFont val="Aptos Narrow"/>
        <family val="2"/>
        <charset val="204"/>
        <scheme val="minor"/>
      </rPr>
      <t>-экв.</t>
    </r>
  </si>
  <si>
    <r>
      <t>Захороненный углерод в арболите, т CO</t>
    </r>
    <r>
      <rPr>
        <vertAlign val="subscript"/>
        <sz val="11"/>
        <color theme="1"/>
        <rFont val="Aptos Narrow"/>
        <family val="2"/>
        <scheme val="minor"/>
      </rPr>
      <t>2</t>
    </r>
    <r>
      <rPr>
        <sz val="11"/>
        <color theme="1"/>
        <rFont val="Aptos Narrow"/>
        <family val="2"/>
        <charset val="204"/>
        <scheme val="minor"/>
      </rPr>
      <t>-экв.</t>
    </r>
  </si>
  <si>
    <r>
      <t>Выбросы от проектной линии, т CO</t>
    </r>
    <r>
      <rPr>
        <vertAlign val="subscript"/>
        <sz val="11"/>
        <color theme="1"/>
        <rFont val="Aptos Narrow"/>
        <family val="2"/>
        <scheme val="minor"/>
      </rPr>
      <t>2</t>
    </r>
    <r>
      <rPr>
        <sz val="11"/>
        <color theme="1"/>
        <rFont val="Aptos Narrow"/>
        <family val="2"/>
        <charset val="204"/>
        <scheme val="minor"/>
      </rPr>
      <t>-экв.</t>
    </r>
  </si>
  <si>
    <r>
      <t>Результат климатического проекта, т CO</t>
    </r>
    <r>
      <rPr>
        <vertAlign val="subscript"/>
        <sz val="11"/>
        <color theme="1"/>
        <rFont val="Aptos Narrow"/>
        <family val="2"/>
        <scheme val="minor"/>
      </rPr>
      <t>2</t>
    </r>
    <r>
      <rPr>
        <sz val="11"/>
        <color theme="1"/>
        <rFont val="Aptos Narrow"/>
        <family val="2"/>
        <charset val="204"/>
        <scheme val="minor"/>
      </rPr>
      <t>-экв.</t>
    </r>
  </si>
  <si>
    <t>Итого</t>
  </si>
  <si>
    <t>Поступление С в пул порубочных остатков, тонн С (если сразу массу умножить на 50%)</t>
  </si>
  <si>
    <t>Нужно отнять тот углерод который идет в почву от того, который способен к разложению.</t>
  </si>
  <si>
    <t>Выбросы нужно добавить от аэробного разложения мульчи?</t>
  </si>
  <si>
    <t>Захоронение углерода, т CO2-экв.</t>
  </si>
  <si>
    <t>Захоронение углерода, т CO2-экв. (суммарно)</t>
  </si>
  <si>
    <t>Разница</t>
  </si>
  <si>
    <t>Щепа древесная</t>
  </si>
  <si>
    <t>Производство арболита</t>
  </si>
  <si>
    <t>кг</t>
  </si>
  <si>
    <t>д.ед.</t>
  </si>
  <si>
    <t>т</t>
  </si>
  <si>
    <t>Массовая доля материалы/сырья j в одном строительном блоке</t>
  </si>
  <si>
    <t>Ср. плотность строительного материала</t>
  </si>
  <si>
    <t xml:space="preserve">Годовой объем выпуска строительного материала </t>
  </si>
  <si>
    <t xml:space="preserve"> </t>
  </si>
  <si>
    <t>Удельный вклад A1-A3</t>
  </si>
  <si>
    <t xml:space="preserve">Выбросы строительного материала в проектном сценарии в модуле А1 </t>
  </si>
  <si>
    <t>км</t>
  </si>
  <si>
    <t>Транспортное средство, используемое для перевозки материалов до площадки производства</t>
  </si>
  <si>
    <t>f</t>
  </si>
  <si>
    <t xml:space="preserve">Сетевой коэффициент выбросов </t>
  </si>
  <si>
    <t>Выбросы от потребления покупной электроэнергии из сети в год</t>
  </si>
  <si>
    <t>МВт·ч</t>
  </si>
  <si>
    <t>Коэффициент теплопроводности материала</t>
  </si>
  <si>
    <t>Требуемое приведенное сопротивление теплопередаче ограждающей конструкции</t>
  </si>
  <si>
    <t>базовый сценарий</t>
  </si>
  <si>
    <t>проектный сценарий</t>
  </si>
  <si>
    <t>кирпич марки М125</t>
  </si>
  <si>
    <t>минераловатные плиты фасадные</t>
  </si>
  <si>
    <t>Вт/м·С°</t>
  </si>
  <si>
    <t>арболит</t>
  </si>
  <si>
    <t>Толщина ограждающей конструкции для проектного сценария</t>
  </si>
  <si>
    <t xml:space="preserve">Площадь ограждающей конструкции, обеспечивающая требуемое приведенное сопротивление теплопередаче </t>
  </si>
  <si>
    <t>м</t>
  </si>
  <si>
    <t>Толщина ограждающей конструкции для базового сценария</t>
  </si>
  <si>
    <t>Сопротивление теплопередаче ограждающей конструкции из кирпича заданной толщины</t>
  </si>
  <si>
    <t>Требуемое приведенное сопротивление теплопередаче ограждающей конструкции из минеральной ваты</t>
  </si>
  <si>
    <t>Удельный расход природного газа на производство 1 т кирпича</t>
  </si>
  <si>
    <t>МДж/т</t>
  </si>
  <si>
    <t>Плотность кирпича марки М125</t>
  </si>
  <si>
    <t>ТДж/год</t>
  </si>
  <si>
    <t xml:space="preserve">Выбросы от стационарного сжигания собственного топлива </t>
  </si>
  <si>
    <t>НТС природного газа</t>
  </si>
  <si>
    <t>Удельный расход кокса литейного на производство 1 т минеральной ваты</t>
  </si>
  <si>
    <t>НТС кокса металлургического</t>
  </si>
  <si>
    <t>т.у.т./т</t>
  </si>
  <si>
    <t>Выбросы от стационарного сжигания природного газа</t>
  </si>
  <si>
    <t>Выбросы от стационарного сжигания кокса металлургического</t>
  </si>
  <si>
    <t>Выбросы от потребления покупной электроэнергии из сети в год при производстве минеральной ваты</t>
  </si>
  <si>
    <t>Удельный расход природного газа на производство 1 т минеральной ваты</t>
  </si>
  <si>
    <t>т/год</t>
  </si>
  <si>
    <t>Выбросы от стационарного сжигания собственного топлива при производстве минеральной ваты</t>
  </si>
  <si>
    <t>Выбросы в год y по базовой линии материалов, выполняющих ту же функцию, что и продукция проекта</t>
  </si>
  <si>
    <t xml:space="preserve">Heavy vehicles </t>
  </si>
  <si>
    <r>
      <t xml:space="preserve">                     </t>
    </r>
    <r>
      <rPr>
        <i/>
        <sz val="11"/>
        <color theme="1"/>
        <rFont val="Times New Roman"/>
        <family val="1"/>
        <charset val="204"/>
      </rPr>
      <t>y</t>
    </r>
    <r>
      <rPr>
        <sz val="11"/>
        <color theme="1"/>
        <rFont val="Times New Roman"/>
        <family val="1"/>
        <charset val="204"/>
      </rPr>
      <t xml:space="preserve">
Ед. изм.</t>
    </r>
  </si>
  <si>
    <r>
      <t xml:space="preserve">Базовые нетто-выбросы в год </t>
    </r>
    <r>
      <rPr>
        <i/>
        <sz val="11"/>
        <color theme="1"/>
        <rFont val="Times New Roman"/>
        <family val="1"/>
        <charset val="204"/>
      </rPr>
      <t>y</t>
    </r>
  </si>
  <si>
    <r>
      <t xml:space="preserve">Выбросы от производства строительных материалов в проектном сценарии в год </t>
    </r>
    <r>
      <rPr>
        <i/>
        <sz val="11"/>
        <color theme="1"/>
        <rFont val="Times New Roman"/>
        <family val="1"/>
        <charset val="204"/>
      </rPr>
      <t>y</t>
    </r>
  </si>
  <si>
    <r>
      <t xml:space="preserve">Проектные нетто-выбросы в год </t>
    </r>
    <r>
      <rPr>
        <i/>
        <sz val="11"/>
        <color theme="1"/>
        <rFont val="Times New Roman"/>
        <family val="1"/>
        <charset val="204"/>
      </rPr>
      <t>y</t>
    </r>
  </si>
  <si>
    <r>
      <t>м</t>
    </r>
    <r>
      <rPr>
        <vertAlign val="superscript"/>
        <sz val="11"/>
        <color theme="1"/>
        <rFont val="Times New Roman"/>
        <family val="1"/>
        <charset val="204"/>
      </rPr>
      <t>3</t>
    </r>
  </si>
  <si>
    <r>
      <t>кг/м</t>
    </r>
    <r>
      <rPr>
        <vertAlign val="superscript"/>
        <sz val="11"/>
        <color theme="1"/>
        <rFont val="Times New Roman"/>
        <family val="1"/>
        <charset val="204"/>
      </rPr>
      <t>3</t>
    </r>
  </si>
  <si>
    <r>
      <t>j</t>
    </r>
    <r>
      <rPr>
        <sz val="11"/>
        <color theme="1"/>
        <rFont val="Times New Roman"/>
        <family val="1"/>
        <charset val="204"/>
      </rPr>
      <t>1</t>
    </r>
  </si>
  <si>
    <r>
      <t>j</t>
    </r>
    <r>
      <rPr>
        <sz val="11"/>
        <color theme="1"/>
        <rFont val="Times New Roman"/>
        <family val="1"/>
        <charset val="204"/>
      </rPr>
      <t>2</t>
    </r>
    <r>
      <rPr>
        <sz val="11"/>
        <color theme="1"/>
        <rFont val="Aptos Narrow"/>
        <family val="2"/>
        <charset val="204"/>
        <scheme val="minor"/>
      </rPr>
      <t/>
    </r>
  </si>
  <si>
    <r>
      <t>j</t>
    </r>
    <r>
      <rPr>
        <sz val="11"/>
        <color theme="1"/>
        <rFont val="Times New Roman"/>
        <family val="1"/>
        <charset val="204"/>
      </rPr>
      <t>3</t>
    </r>
    <r>
      <rPr>
        <sz val="11"/>
        <color theme="1"/>
        <rFont val="Aptos Narrow"/>
        <family val="2"/>
        <charset val="204"/>
        <scheme val="minor"/>
      </rPr>
      <t/>
    </r>
  </si>
  <si>
    <r>
      <t>т CO</t>
    </r>
    <r>
      <rPr>
        <vertAlign val="subscript"/>
        <sz val="11"/>
        <color theme="1"/>
        <rFont val="Times New Roman"/>
        <family val="1"/>
        <charset val="204"/>
      </rPr>
      <t>2</t>
    </r>
    <r>
      <rPr>
        <sz val="11"/>
        <color theme="1"/>
        <rFont val="Times New Roman"/>
        <family val="1"/>
        <charset val="204"/>
      </rPr>
      <t>/т</t>
    </r>
  </si>
  <si>
    <r>
      <t xml:space="preserve">Масса груза перевозимым транспортным средством типа </t>
    </r>
    <r>
      <rPr>
        <i/>
        <sz val="11"/>
        <color theme="1"/>
        <rFont val="Times New Roman"/>
        <family val="1"/>
        <charset val="204"/>
      </rPr>
      <t>f</t>
    </r>
    <r>
      <rPr>
        <sz val="11"/>
        <color theme="1"/>
        <rFont val="Times New Roman"/>
        <family val="1"/>
        <charset val="204"/>
      </rPr>
      <t xml:space="preserve"> в проектном сценарии</t>
    </r>
  </si>
  <si>
    <r>
      <t xml:space="preserve">Выбросы от транспортировки при помощи транспортного средства </t>
    </r>
    <r>
      <rPr>
        <i/>
        <sz val="11"/>
        <color theme="1"/>
        <rFont val="Times New Roman"/>
        <family val="1"/>
        <charset val="204"/>
      </rPr>
      <t>f</t>
    </r>
    <r>
      <rPr>
        <sz val="11"/>
        <color theme="1"/>
        <rFont val="Times New Roman"/>
        <family val="1"/>
        <charset val="204"/>
      </rPr>
      <t xml:space="preserve"> в проектном сценарии в год </t>
    </r>
    <r>
      <rPr>
        <i/>
        <sz val="11"/>
        <color theme="1"/>
        <rFont val="Times New Roman"/>
        <family val="1"/>
        <charset val="204"/>
      </rPr>
      <t>y</t>
    </r>
  </si>
  <si>
    <r>
      <t xml:space="preserve">Потребление электроэнергии на площадке из сети в отчетном году </t>
    </r>
    <r>
      <rPr>
        <i/>
        <sz val="11"/>
        <color theme="1"/>
        <rFont val="Times New Roman"/>
        <family val="1"/>
        <charset val="204"/>
      </rPr>
      <t>y</t>
    </r>
    <r>
      <rPr>
        <sz val="11"/>
        <color theme="1"/>
        <rFont val="Times New Roman"/>
        <family val="1"/>
        <charset val="204"/>
      </rPr>
      <t xml:space="preserve"> в проектном сценарии</t>
    </r>
  </si>
  <si>
    <r>
      <t>кг CO</t>
    </r>
    <r>
      <rPr>
        <vertAlign val="subscript"/>
        <sz val="11"/>
        <color theme="1"/>
        <rFont val="Times New Roman"/>
        <family val="1"/>
        <charset val="204"/>
      </rPr>
      <t>2</t>
    </r>
    <r>
      <rPr>
        <sz val="11"/>
        <color theme="1"/>
        <rFont val="Times New Roman"/>
        <family val="1"/>
        <charset val="204"/>
      </rPr>
      <t>/МВт·ч</t>
    </r>
  </si>
  <si>
    <r>
      <t xml:space="preserve">Выбросы в год </t>
    </r>
    <r>
      <rPr>
        <i/>
        <sz val="11"/>
        <color theme="1"/>
        <rFont val="Times New Roman"/>
        <family val="1"/>
        <charset val="204"/>
      </rPr>
      <t>y</t>
    </r>
    <r>
      <rPr>
        <sz val="11"/>
        <color theme="1"/>
        <rFont val="Times New Roman"/>
        <family val="1"/>
        <charset val="204"/>
      </rPr>
      <t xml:space="preserve"> по проектном сценарии </t>
    </r>
  </si>
  <si>
    <r>
      <t>коэффициент выбросов CO</t>
    </r>
    <r>
      <rPr>
        <vertAlign val="subscript"/>
        <sz val="11"/>
        <color theme="1"/>
        <rFont val="Times New Roman"/>
        <family val="1"/>
        <charset val="204"/>
      </rPr>
      <t>2</t>
    </r>
    <r>
      <rPr>
        <sz val="11"/>
        <color theme="1"/>
        <rFont val="Times New Roman"/>
        <family val="1"/>
        <charset val="204"/>
      </rPr>
      <t xml:space="preserve"> для соответствующего вида транспорта </t>
    </r>
    <r>
      <rPr>
        <i/>
        <sz val="11"/>
        <color theme="1"/>
        <rFont val="Times New Roman"/>
        <family val="1"/>
        <charset val="204"/>
      </rPr>
      <t>f</t>
    </r>
  </si>
  <si>
    <r>
      <t>г CO</t>
    </r>
    <r>
      <rPr>
        <vertAlign val="subscript"/>
        <sz val="11"/>
        <color theme="1"/>
        <rFont val="Times New Roman"/>
        <family val="1"/>
        <charset val="204"/>
      </rPr>
      <t>2</t>
    </r>
    <r>
      <rPr>
        <sz val="11"/>
        <color theme="1"/>
        <rFont val="Times New Roman"/>
        <family val="1"/>
        <charset val="204"/>
      </rPr>
      <t>/т·км</t>
    </r>
  </si>
  <si>
    <r>
      <t xml:space="preserve">Сопоставимый годовой объем выпуска кирпича по базовому сценарию в год </t>
    </r>
    <r>
      <rPr>
        <i/>
        <sz val="11"/>
        <color theme="1"/>
        <rFont val="Times New Roman"/>
        <family val="1"/>
        <charset val="204"/>
      </rPr>
      <t>y</t>
    </r>
  </si>
  <si>
    <r>
      <t xml:space="preserve">Расход природного газа по базовому сценарию на производство заданного объема кирпича в год </t>
    </r>
    <r>
      <rPr>
        <i/>
        <sz val="11"/>
        <color theme="1"/>
        <rFont val="Times New Roman"/>
        <family val="1"/>
        <charset val="204"/>
      </rPr>
      <t>y</t>
    </r>
  </si>
  <si>
    <r>
      <t>т CO</t>
    </r>
    <r>
      <rPr>
        <vertAlign val="subscript"/>
        <sz val="11"/>
        <color theme="1"/>
        <rFont val="Times New Roman"/>
        <family val="1"/>
        <charset val="204"/>
      </rPr>
      <t>2</t>
    </r>
    <r>
      <rPr>
        <sz val="11"/>
        <color theme="1"/>
        <rFont val="Times New Roman"/>
        <family val="1"/>
        <charset val="204"/>
      </rPr>
      <t>/ТДж</t>
    </r>
  </si>
  <si>
    <r>
      <t xml:space="preserve">Сопоставимый годовой объем выпуска минеральной ваты по базовому сценарию в год </t>
    </r>
    <r>
      <rPr>
        <i/>
        <sz val="11"/>
        <color theme="1"/>
        <rFont val="Times New Roman"/>
        <family val="1"/>
        <charset val="204"/>
      </rPr>
      <t>y</t>
    </r>
  </si>
  <si>
    <r>
      <t>м</t>
    </r>
    <r>
      <rPr>
        <vertAlign val="superscript"/>
        <sz val="11"/>
        <color theme="1"/>
        <rFont val="Times New Roman"/>
        <family val="1"/>
        <charset val="204"/>
      </rPr>
      <t>3</t>
    </r>
    <r>
      <rPr>
        <sz val="11"/>
        <color theme="1"/>
        <rFont val="Times New Roman"/>
        <family val="1"/>
        <charset val="204"/>
      </rPr>
      <t>/т</t>
    </r>
  </si>
  <si>
    <r>
      <t>МДж/м</t>
    </r>
    <r>
      <rPr>
        <vertAlign val="superscript"/>
        <sz val="11"/>
        <color theme="1"/>
        <rFont val="Times New Roman"/>
        <family val="1"/>
        <charset val="204"/>
      </rPr>
      <t>3</t>
    </r>
  </si>
  <si>
    <r>
      <t>Коэффиицент выбросов CO</t>
    </r>
    <r>
      <rPr>
        <vertAlign val="subscript"/>
        <sz val="11"/>
        <color theme="1"/>
        <rFont val="Times New Roman"/>
        <family val="1"/>
        <charset val="204"/>
      </rPr>
      <t>2</t>
    </r>
    <r>
      <rPr>
        <sz val="11"/>
        <color theme="1"/>
        <rFont val="Times New Roman"/>
        <family val="1"/>
        <charset val="204"/>
      </rPr>
      <t xml:space="preserve"> от стационарного сжигания кокса металлургического</t>
    </r>
  </si>
  <si>
    <r>
      <t>т CO</t>
    </r>
    <r>
      <rPr>
        <vertAlign val="subscript"/>
        <sz val="11"/>
        <color theme="1"/>
        <rFont val="Times New Roman"/>
        <family val="1"/>
        <charset val="204"/>
      </rPr>
      <t>2</t>
    </r>
    <r>
      <rPr>
        <sz val="11"/>
        <color theme="1"/>
        <rFont val="Times New Roman"/>
        <family val="1"/>
        <charset val="204"/>
      </rPr>
      <t>/т.у.т.</t>
    </r>
  </si>
  <si>
    <r>
      <t>Коэффиицент выбросов CO</t>
    </r>
    <r>
      <rPr>
        <vertAlign val="subscript"/>
        <sz val="11"/>
        <color theme="1"/>
        <rFont val="Times New Roman"/>
        <family val="1"/>
        <charset val="204"/>
      </rPr>
      <t>2</t>
    </r>
    <r>
      <rPr>
        <sz val="11"/>
        <color theme="1"/>
        <rFont val="Times New Roman"/>
        <family val="1"/>
        <charset val="204"/>
      </rPr>
      <t xml:space="preserve"> от стационарного сжигания природного газа</t>
    </r>
  </si>
  <si>
    <r>
      <t xml:space="preserve">Расход природного газа по базовому сценарию на производство заданного объема минеральной ваты в год </t>
    </r>
    <r>
      <rPr>
        <i/>
        <sz val="11"/>
        <color theme="1"/>
        <rFont val="Times New Roman"/>
        <family val="1"/>
        <charset val="204"/>
      </rPr>
      <t>y</t>
    </r>
  </si>
  <si>
    <r>
      <t xml:space="preserve">Расход кокса металлургического по базовому сценарию на производство заданного объема минеральной ваты в год </t>
    </r>
    <r>
      <rPr>
        <i/>
        <sz val="11"/>
        <color theme="1"/>
        <rFont val="Times New Roman"/>
        <family val="1"/>
        <charset val="204"/>
      </rPr>
      <t>y</t>
    </r>
  </si>
  <si>
    <r>
      <t xml:space="preserve">Потребление электроэнергии для производства минеральной ваты </t>
    </r>
    <r>
      <rPr>
        <i/>
        <sz val="11"/>
        <color theme="1"/>
        <rFont val="Times New Roman"/>
        <family val="1"/>
        <charset val="204"/>
      </rPr>
      <t>y</t>
    </r>
    <r>
      <rPr>
        <sz val="11"/>
        <color theme="1"/>
        <rFont val="Times New Roman"/>
        <family val="1"/>
        <charset val="204"/>
      </rPr>
      <t xml:space="preserve"> в базовом сценарии</t>
    </r>
  </si>
  <si>
    <r>
      <t xml:space="preserve">Выбросы от производства минеральной ваты в базовом сценариев модуле А1+A2 в год </t>
    </r>
    <r>
      <rPr>
        <i/>
        <sz val="11"/>
        <color theme="1"/>
        <rFont val="Times New Roman"/>
        <family val="1"/>
        <charset val="204"/>
      </rPr>
      <t>y</t>
    </r>
  </si>
  <si>
    <r>
      <t xml:space="preserve">Выбросы от производства кирпичей в год </t>
    </r>
    <r>
      <rPr>
        <i/>
        <sz val="11"/>
        <color theme="1"/>
        <rFont val="Times New Roman"/>
        <family val="1"/>
        <charset val="204"/>
      </rPr>
      <t>y</t>
    </r>
    <r>
      <rPr>
        <sz val="11"/>
        <color theme="1"/>
        <rFont val="Times New Roman"/>
        <family val="1"/>
        <charset val="204"/>
      </rPr>
      <t xml:space="preserve"> по базовому сценарию</t>
    </r>
  </si>
  <si>
    <r>
      <t xml:space="preserve">Выбросы от производства минеральной ваты в год </t>
    </r>
    <r>
      <rPr>
        <i/>
        <sz val="11"/>
        <color theme="1"/>
        <rFont val="Times New Roman"/>
        <family val="1"/>
        <charset val="204"/>
      </rPr>
      <t>y</t>
    </r>
    <r>
      <rPr>
        <sz val="11"/>
        <color theme="1"/>
        <rFont val="Times New Roman"/>
        <family val="1"/>
        <charset val="204"/>
      </rPr>
      <t xml:space="preserve"> по базовому сценарию</t>
    </r>
  </si>
  <si>
    <r>
      <t xml:space="preserve">Выбросы в год </t>
    </r>
    <r>
      <rPr>
        <i/>
        <sz val="11"/>
        <color theme="1"/>
        <rFont val="Times New Roman"/>
        <family val="1"/>
        <charset val="204"/>
      </rPr>
      <t>y</t>
    </r>
    <r>
      <rPr>
        <sz val="11"/>
        <color theme="1"/>
        <rFont val="Times New Roman"/>
        <family val="1"/>
        <charset val="204"/>
      </rPr>
      <t xml:space="preserve"> по базовой линии материалов, выполняющих ту же функцию, что и продукция проекта</t>
    </r>
  </si>
  <si>
    <r>
      <t xml:space="preserve">Потребление электроэнергии на площадке из сети в отчетном году </t>
    </r>
    <r>
      <rPr>
        <i/>
        <sz val="11"/>
        <color theme="1"/>
        <rFont val="Times New Roman"/>
        <family val="1"/>
        <charset val="204"/>
      </rPr>
      <t>y</t>
    </r>
    <r>
      <rPr>
        <sz val="11"/>
        <color theme="1"/>
        <rFont val="Times New Roman"/>
        <family val="1"/>
        <charset val="204"/>
      </rPr>
      <t xml:space="preserve"> при производстве кирпича марки М125</t>
    </r>
  </si>
  <si>
    <r>
      <t xml:space="preserve">Выбросы строительного материала 1 в базовом сценариев по модулям А1+A2 в год </t>
    </r>
    <r>
      <rPr>
        <i/>
        <sz val="11"/>
        <color theme="1"/>
        <rFont val="Times New Roman"/>
        <family val="1"/>
        <charset val="204"/>
      </rPr>
      <t>y</t>
    </r>
  </si>
  <si>
    <r>
      <t xml:space="preserve">Выбросы строительного материала 1 в базовом сценариев по модулю A3 в год </t>
    </r>
    <r>
      <rPr>
        <i/>
        <sz val="11"/>
        <color theme="1"/>
        <rFont val="Times New Roman"/>
        <family val="1"/>
        <charset val="204"/>
      </rPr>
      <t>y</t>
    </r>
  </si>
  <si>
    <t>Плотность фасадной минеральной ваты</t>
  </si>
  <si>
    <r>
      <t>м</t>
    </r>
    <r>
      <rPr>
        <vertAlign val="superscript"/>
        <sz val="11"/>
        <color theme="1"/>
        <rFont val="Times New Roman"/>
        <family val="1"/>
        <charset val="204"/>
      </rPr>
      <t>2</t>
    </r>
    <r>
      <rPr>
        <sz val="11"/>
        <color theme="1"/>
        <rFont val="Times New Roman"/>
        <family val="1"/>
        <charset val="204"/>
      </rPr>
      <t>·°С/Вт</t>
    </r>
  </si>
  <si>
    <r>
      <t xml:space="preserve">Годовой объем выпуска строительного материала по проектному сценарию в год </t>
    </r>
    <r>
      <rPr>
        <i/>
        <sz val="11"/>
        <color theme="1"/>
        <rFont val="Times New Roman"/>
        <family val="1"/>
        <charset val="204"/>
      </rPr>
      <t>y</t>
    </r>
  </si>
  <si>
    <r>
      <t>м</t>
    </r>
    <r>
      <rPr>
        <vertAlign val="superscript"/>
        <sz val="11"/>
        <color theme="1"/>
        <rFont val="Times New Roman"/>
        <family val="1"/>
        <charset val="204"/>
      </rPr>
      <t>2</t>
    </r>
  </si>
  <si>
    <r>
      <t xml:space="preserve">Cопоставимый годовой объем выпуска строительного материала по базовому сценарию в год </t>
    </r>
    <r>
      <rPr>
        <i/>
        <sz val="11"/>
        <color theme="1"/>
        <rFont val="Times New Roman"/>
        <family val="1"/>
        <charset val="204"/>
      </rPr>
      <t>y</t>
    </r>
  </si>
  <si>
    <r>
      <t xml:space="preserve">                      </t>
    </r>
    <r>
      <rPr>
        <i/>
        <sz val="11"/>
        <color theme="1"/>
        <rFont val="Times New Roman"/>
        <family val="1"/>
        <charset val="204"/>
      </rPr>
      <t>y</t>
    </r>
    <r>
      <rPr>
        <sz val="11"/>
        <color theme="1"/>
        <rFont val="Times New Roman"/>
        <family val="1"/>
        <charset val="204"/>
      </rPr>
      <t xml:space="preserve">
Ед. изм.</t>
    </r>
  </si>
  <si>
    <t>Справочные значения</t>
  </si>
  <si>
    <t>Градусо-суток отопительного периода (ГСОП) для климатической зоны строительства</t>
  </si>
  <si>
    <t>Ед. изм.</t>
  </si>
  <si>
    <t>Значение</t>
  </si>
  <si>
    <t>Обозначение</t>
  </si>
  <si>
    <t>ГСОП</t>
  </si>
  <si>
    <t>a</t>
  </si>
  <si>
    <t>b</t>
  </si>
  <si>
    <t>Расчетная температура внутреннего воздуха здания</t>
  </si>
  <si>
    <t>Средняя температура наружного воздуха</t>
  </si>
  <si>
    <t>(°С · сут)/год</t>
  </si>
  <si>
    <t>°С</t>
  </si>
  <si>
    <t>сут/год</t>
  </si>
  <si>
    <t>коэффициент</t>
  </si>
  <si>
    <t>-</t>
  </si>
  <si>
    <t>Продолжительность отопительного периода</t>
  </si>
  <si>
    <t>№</t>
  </si>
  <si>
    <t>Период</t>
  </si>
  <si>
    <t xml:space="preserve">Приказ Минприроды РФ от 27.05.2022 г. №371 </t>
  </si>
  <si>
    <t>Годы зачетного периода</t>
  </si>
  <si>
    <t xml:space="preserve">Суммарный эффект проекта за 15 лет </t>
  </si>
  <si>
    <t>N. Hofmann et al., 2018</t>
  </si>
  <si>
    <t>half-life (HL)</t>
  </si>
  <si>
    <t xml:space="preserve">Количество сырья и энергоносителей необходимых для производства 1 тонны
готовой продукции ( плит минеральной ваты ) </t>
  </si>
  <si>
    <t>кВт</t>
  </si>
  <si>
    <t>Расчет массовой концентрации сухой щепы</t>
  </si>
  <si>
    <t>Источник</t>
  </si>
  <si>
    <t>Плотность готового блока арболита мари D600</t>
  </si>
  <si>
    <t>ГОСТ 19222-2019</t>
  </si>
  <si>
    <t>Размеры одного блока арболита марки D600</t>
  </si>
  <si>
    <r>
      <t>500</t>
    </r>
    <r>
      <rPr>
        <sz val="11"/>
        <color theme="1"/>
        <rFont val="Symbol"/>
        <family val="1"/>
        <charset val="2"/>
      </rPr>
      <t>´</t>
    </r>
    <r>
      <rPr>
        <sz val="11"/>
        <color theme="1"/>
        <rFont val="Times New Roman"/>
        <family val="1"/>
        <charset val="204"/>
      </rPr>
      <t>300</t>
    </r>
    <r>
      <rPr>
        <sz val="11"/>
        <color theme="1"/>
        <rFont val="Symbol"/>
        <family val="1"/>
        <charset val="2"/>
      </rPr>
      <t>´</t>
    </r>
    <r>
      <rPr>
        <sz val="11"/>
        <color theme="1"/>
        <rFont val="Times New Roman"/>
        <family val="1"/>
        <charset val="204"/>
      </rPr>
      <t>200</t>
    </r>
  </si>
  <si>
    <r>
      <t>мм</t>
    </r>
    <r>
      <rPr>
        <sz val="11"/>
        <color theme="1"/>
        <rFont val="Symbol"/>
        <family val="1"/>
        <charset val="2"/>
      </rPr>
      <t>´</t>
    </r>
    <r>
      <rPr>
        <sz val="11"/>
        <color theme="1"/>
        <rFont val="Times New Roman"/>
        <family val="1"/>
        <charset val="204"/>
      </rPr>
      <t>мм</t>
    </r>
    <r>
      <rPr>
        <sz val="11"/>
        <color theme="1"/>
        <rFont val="Symbol"/>
        <family val="1"/>
        <charset val="2"/>
      </rPr>
      <t>´</t>
    </r>
    <r>
      <rPr>
        <sz val="11"/>
        <color theme="1"/>
        <rFont val="Times New Roman"/>
        <family val="1"/>
        <charset val="204"/>
      </rPr>
      <t>мм</t>
    </r>
  </si>
  <si>
    <t>ТР, Табл. 1.2.</t>
  </si>
  <si>
    <t>Объем 1 блока арболита марки D600</t>
  </si>
  <si>
    <t>Масса 1 блока арболита марки D600</t>
  </si>
  <si>
    <t>Количество блоков марки D600 за 1 цикл</t>
  </si>
  <si>
    <t>шт.</t>
  </si>
  <si>
    <t>ТР, Разд. 3.2.</t>
  </si>
  <si>
    <t>Масса блоков арболита за 1 цикл (10 шт.)</t>
  </si>
  <si>
    <t>Вода</t>
  </si>
  <si>
    <r>
      <t>Al</t>
    </r>
    <r>
      <rPr>
        <vertAlign val="subscript"/>
        <sz val="11"/>
        <color theme="1"/>
        <rFont val="Times New Roman"/>
        <family val="1"/>
        <charset val="204"/>
      </rPr>
      <t>2</t>
    </r>
    <r>
      <rPr>
        <sz val="11"/>
        <color theme="1"/>
        <rFont val="Times New Roman"/>
        <family val="1"/>
        <charset val="204"/>
      </rPr>
      <t>(SO</t>
    </r>
    <r>
      <rPr>
        <vertAlign val="subscript"/>
        <sz val="11"/>
        <color theme="1"/>
        <rFont val="Times New Roman"/>
        <family val="1"/>
        <charset val="204"/>
      </rPr>
      <t>4</t>
    </r>
    <r>
      <rPr>
        <sz val="11"/>
        <color theme="1"/>
        <rFont val="Times New Roman"/>
        <family val="1"/>
        <charset val="204"/>
      </rPr>
      <t>)</t>
    </r>
    <r>
      <rPr>
        <vertAlign val="subscript"/>
        <sz val="11"/>
        <color theme="1"/>
        <rFont val="Times New Roman"/>
        <family val="1"/>
        <charset val="204"/>
      </rPr>
      <t>2</t>
    </r>
  </si>
  <si>
    <t>л</t>
  </si>
  <si>
    <r>
      <t>Раствор воды и Al</t>
    </r>
    <r>
      <rPr>
        <vertAlign val="subscript"/>
        <sz val="11"/>
        <color theme="1"/>
        <rFont val="Times New Roman"/>
        <family val="1"/>
        <charset val="204"/>
      </rPr>
      <t>2</t>
    </r>
    <r>
      <rPr>
        <sz val="11"/>
        <color theme="1"/>
        <rFont val="Times New Roman"/>
        <family val="1"/>
        <charset val="204"/>
      </rPr>
      <t>(SO</t>
    </r>
    <r>
      <rPr>
        <vertAlign val="subscript"/>
        <sz val="11"/>
        <color theme="1"/>
        <rFont val="Times New Roman"/>
        <family val="1"/>
        <charset val="204"/>
      </rPr>
      <t>4</t>
    </r>
    <r>
      <rPr>
        <sz val="11"/>
        <color theme="1"/>
        <rFont val="Times New Roman"/>
        <family val="1"/>
        <charset val="204"/>
      </rPr>
      <t>)</t>
    </r>
    <r>
      <rPr>
        <vertAlign val="subscript"/>
        <sz val="11"/>
        <color theme="1"/>
        <rFont val="Times New Roman"/>
        <family val="1"/>
        <charset val="204"/>
      </rPr>
      <t>2</t>
    </r>
    <r>
      <rPr>
        <sz val="11"/>
        <color theme="1"/>
        <rFont val="Times New Roman"/>
        <family val="1"/>
        <charset val="204"/>
      </rPr>
      <t xml:space="preserve"> на 1 цикл</t>
    </r>
  </si>
  <si>
    <t>Материальный баланс на 1 цикл</t>
  </si>
  <si>
    <t>ТР, Разд. 3.2. и Табл. 2</t>
  </si>
  <si>
    <t>Щепа (с определенной влажностью)</t>
  </si>
  <si>
    <t>Масса смеси до сушки (за 1 цикл)</t>
  </si>
  <si>
    <t>Щепа (сухая)</t>
  </si>
  <si>
    <t>%</t>
  </si>
  <si>
    <t>Массовая концентрация компонентов в 1 арболитовом блоке марки D600</t>
  </si>
  <si>
    <r>
      <t>Масса раствора воды и Al</t>
    </r>
    <r>
      <rPr>
        <vertAlign val="subscript"/>
        <sz val="11"/>
        <color theme="1"/>
        <rFont val="Times New Roman"/>
        <family val="1"/>
        <charset val="204"/>
      </rPr>
      <t>2</t>
    </r>
    <r>
      <rPr>
        <sz val="11"/>
        <color theme="1"/>
        <rFont val="Times New Roman"/>
        <family val="1"/>
        <charset val="204"/>
      </rPr>
      <t>(SO</t>
    </r>
    <r>
      <rPr>
        <vertAlign val="subscript"/>
        <sz val="11"/>
        <color theme="1"/>
        <rFont val="Times New Roman"/>
        <family val="1"/>
        <charset val="204"/>
      </rPr>
      <t>4</t>
    </r>
    <r>
      <rPr>
        <sz val="11"/>
        <color theme="1"/>
        <rFont val="Times New Roman"/>
        <family val="1"/>
        <charset val="204"/>
      </rPr>
      <t>)</t>
    </r>
    <r>
      <rPr>
        <vertAlign val="subscript"/>
        <sz val="11"/>
        <color theme="1"/>
        <rFont val="Times New Roman"/>
        <family val="1"/>
        <charset val="204"/>
      </rPr>
      <t>2</t>
    </r>
    <r>
      <rPr>
        <sz val="11"/>
        <color theme="1"/>
        <rFont val="Times New Roman"/>
        <family val="1"/>
        <charset val="204"/>
      </rPr>
      <t xml:space="preserve"> на 20 циклов</t>
    </r>
  </si>
  <si>
    <t>ТР, Разд. 3.2.*</t>
  </si>
  <si>
    <r>
      <t>* Принята плотность воды 1000 кг/м</t>
    </r>
    <r>
      <rPr>
        <i/>
        <vertAlign val="superscript"/>
        <sz val="11"/>
        <color theme="1"/>
        <rFont val="Times New Roman"/>
        <family val="1"/>
        <charset val="204"/>
      </rPr>
      <t>3</t>
    </r>
    <r>
      <rPr>
        <i/>
        <sz val="11"/>
        <color theme="1"/>
        <rFont val="Times New Roman"/>
        <family val="1"/>
        <charset val="204"/>
      </rPr>
      <t xml:space="preserve"> при стандартных условиях</t>
    </r>
  </si>
  <si>
    <t>*</t>
  </si>
  <si>
    <t>Масса компонентов в 10 готовых сухих арболитовых блоков (за 1 цикл)</t>
  </si>
  <si>
    <r>
      <t>кВт</t>
    </r>
    <r>
      <rPr>
        <sz val="11"/>
        <color theme="1"/>
        <rFont val="Symbol"/>
        <family val="1"/>
        <charset val="2"/>
      </rPr>
      <t>×</t>
    </r>
    <r>
      <rPr>
        <sz val="11"/>
        <color theme="1"/>
        <rFont val="Times New Roman"/>
        <family val="1"/>
        <charset val="204"/>
      </rPr>
      <t>ч/т</t>
    </r>
  </si>
  <si>
    <r>
      <t>м</t>
    </r>
    <r>
      <rPr>
        <vertAlign val="superscript"/>
        <sz val="11"/>
        <color theme="1"/>
        <rFont val="Times New Roman"/>
        <family val="1"/>
        <charset val="204"/>
      </rPr>
      <t>3</t>
    </r>
    <r>
      <rPr>
        <sz val="11"/>
        <color theme="1"/>
        <rFont val="Times New Roman"/>
        <family val="1"/>
        <charset val="204"/>
      </rPr>
      <t xml:space="preserve"> /т</t>
    </r>
  </si>
  <si>
    <r>
      <t>м</t>
    </r>
    <r>
      <rPr>
        <vertAlign val="superscript"/>
        <sz val="11"/>
        <color theme="1"/>
        <rFont val="Times New Roman"/>
        <family val="1"/>
        <charset val="204"/>
      </rPr>
      <t>3</t>
    </r>
    <r>
      <rPr>
        <sz val="11"/>
        <color theme="1"/>
        <rFont val="Times New Roman"/>
        <family val="1"/>
        <charset val="204"/>
      </rPr>
      <t xml:space="preserve"> /ч</t>
    </r>
  </si>
  <si>
    <t>Расход природного газа - при производительности 30 000 т. ( печь на 4т/ч)</t>
  </si>
  <si>
    <t>Общая номинальная мощность электрооборудования линии - при производительности 30 000 т. ( печь на 4т/ч)</t>
  </si>
  <si>
    <t>Удельный расход электроэнергии на производство 1 т продукции</t>
  </si>
  <si>
    <t>Удельный расход природного газа на производство 1 т продукции</t>
  </si>
  <si>
    <t>ПТД Табл. Е.5</t>
  </si>
  <si>
    <t>Суммарный вклад модулей A1+A2 для минеральной ваты</t>
  </si>
  <si>
    <t>Суммарный вклад модулей A1+A2 для кирпича</t>
  </si>
  <si>
    <r>
      <t>Суммарный эффект проекта за 15 лет (в т СО</t>
    </r>
    <r>
      <rPr>
        <vertAlign val="subscript"/>
        <sz val="11"/>
        <rFont val="Times New Roman"/>
        <family val="1"/>
        <charset val="204"/>
      </rPr>
      <t>2</t>
    </r>
    <r>
      <rPr>
        <sz val="11"/>
        <rFont val="Times New Roman"/>
        <family val="1"/>
        <charset val="204"/>
      </rPr>
      <t>)</t>
    </r>
  </si>
  <si>
    <r>
      <t>т CO</t>
    </r>
    <r>
      <rPr>
        <vertAlign val="subscript"/>
        <sz val="11"/>
        <color theme="1"/>
        <rFont val="Times New Roman"/>
        <family val="1"/>
        <charset val="204"/>
      </rPr>
      <t>2</t>
    </r>
    <r>
      <rPr>
        <sz val="11"/>
        <color theme="1"/>
        <rFont val="Times New Roman"/>
        <family val="1"/>
        <charset val="204"/>
      </rPr>
      <t>/год</t>
    </r>
  </si>
  <si>
    <r>
      <t>Среднее за год, т CO</t>
    </r>
    <r>
      <rPr>
        <b/>
        <vertAlign val="subscript"/>
        <sz val="11"/>
        <color rgb="FF0D0D0D"/>
        <rFont val="Arial"/>
        <family val="2"/>
        <charset val="204"/>
      </rPr>
      <t>2</t>
    </r>
  </si>
  <si>
    <t xml:space="preserve">Масса образованой щепы древесной, тонн/год </t>
  </si>
  <si>
    <t xml:space="preserve">Ежегодное поступление C с щепой древесной, т C/год </t>
  </si>
  <si>
    <r>
      <t>Хранение углерода в пуле щепы древесной, т CO</t>
    </r>
    <r>
      <rPr>
        <vertAlign val="subscript"/>
        <sz val="11"/>
        <color theme="1"/>
        <rFont val="Times New Roman"/>
        <family val="1"/>
        <charset val="204"/>
      </rPr>
      <t>2</t>
    </r>
    <r>
      <rPr>
        <sz val="11"/>
        <color theme="1"/>
        <rFont val="Times New Roman"/>
        <family val="1"/>
        <charset val="204"/>
      </rPr>
      <t xml:space="preserve"> (суммарно)</t>
    </r>
  </si>
  <si>
    <t>Базовая линия (Щепа древесная)</t>
  </si>
  <si>
    <t>Проектный сценарий (Щепа древесная)</t>
  </si>
  <si>
    <r>
      <t>Хранение углерода в пуле щепы древесной (суммарно), т СО</t>
    </r>
    <r>
      <rPr>
        <vertAlign val="subscript"/>
        <sz val="11"/>
        <color theme="1"/>
        <rFont val="Times New Roman"/>
        <family val="1"/>
        <charset val="204"/>
      </rPr>
      <t>2</t>
    </r>
    <r>
      <rPr>
        <sz val="11"/>
        <color theme="1"/>
        <rFont val="Times New Roman"/>
        <family val="1"/>
        <charset val="204"/>
      </rPr>
      <t>-экв./год</t>
    </r>
  </si>
  <si>
    <r>
      <t xml:space="preserve">Хранение углерода в пуле щепы древесной в год </t>
    </r>
    <r>
      <rPr>
        <i/>
        <sz val="11"/>
        <color theme="1"/>
        <rFont val="Times New Roman"/>
        <family val="1"/>
        <charset val="204"/>
      </rPr>
      <t>y</t>
    </r>
    <r>
      <rPr>
        <sz val="11"/>
        <color theme="1"/>
        <rFont val="Times New Roman"/>
        <family val="1"/>
        <charset val="204"/>
      </rPr>
      <t xml:space="preserve"> (суммарно) в проектном сценарии</t>
    </r>
  </si>
  <si>
    <t>Содержание С в биомассе щепы древесной, Сcf,Т</t>
  </si>
  <si>
    <t>Удельный расход электроэнергии на производство 1 т кирпича</t>
  </si>
  <si>
    <t>кВт·ч/т</t>
  </si>
  <si>
    <t>кг/т</t>
  </si>
  <si>
    <t>ПТД сноска 75</t>
  </si>
  <si>
    <r>
      <t>Выбросы ПГ по базовой линии, т CO</t>
    </r>
    <r>
      <rPr>
        <vertAlign val="subscript"/>
        <sz val="11"/>
        <color rgb="FF0D0D0D"/>
        <rFont val="Arial"/>
        <family val="2"/>
        <charset val="204"/>
      </rPr>
      <t>2</t>
    </r>
  </si>
  <si>
    <r>
      <t xml:space="preserve">Выбросы </t>
    </r>
    <r>
      <rPr>
        <sz val="11"/>
        <color rgb="FF000000"/>
        <rFont val="Arial"/>
        <family val="2"/>
        <charset val="204"/>
      </rPr>
      <t xml:space="preserve">ПГ </t>
    </r>
    <r>
      <rPr>
        <sz val="11"/>
        <color rgb="FF0D0D0D"/>
        <rFont val="Arial"/>
        <family val="2"/>
        <charset val="204"/>
      </rPr>
      <t>по проектному сценарию, т CO</t>
    </r>
    <r>
      <rPr>
        <vertAlign val="subscript"/>
        <sz val="11"/>
        <color rgb="FF0D0D0D"/>
        <rFont val="Arial"/>
        <family val="2"/>
        <charset val="204"/>
      </rPr>
      <t>2</t>
    </r>
  </si>
  <si>
    <r>
      <t>Сокращение выбросов ПГ, т CO</t>
    </r>
    <r>
      <rPr>
        <vertAlign val="subscript"/>
        <sz val="11"/>
        <color rgb="FF0D0D0D"/>
        <rFont val="Arial"/>
        <family val="2"/>
        <charset val="204"/>
      </rPr>
      <t>2</t>
    </r>
  </si>
  <si>
    <t>Выбросы от траснпортировки и измельчения элементов деревянной тары и упаковки по базовому сценарию</t>
  </si>
  <si>
    <r>
      <t xml:space="preserve">Увеличение поглощения в течение года </t>
    </r>
    <r>
      <rPr>
        <i/>
        <sz val="11"/>
        <color theme="1"/>
        <rFont val="Times New Roman"/>
        <family val="1"/>
        <charset val="204"/>
      </rPr>
      <t>y</t>
    </r>
  </si>
  <si>
    <t>Содержание С в биомассе щепы древесной</t>
  </si>
  <si>
    <r>
      <t xml:space="preserve">Выбросы (потери) от складирования щепы древесной в базовой линии в год </t>
    </r>
    <r>
      <rPr>
        <i/>
        <sz val="11"/>
        <color theme="1"/>
        <rFont val="Times New Roman"/>
        <family val="1"/>
        <charset val="204"/>
      </rPr>
      <t>y</t>
    </r>
  </si>
  <si>
    <r>
      <t xml:space="preserve">Накопление углерода к концу года </t>
    </r>
    <r>
      <rPr>
        <i/>
        <sz val="11"/>
        <color theme="1"/>
        <rFont val="Times New Roman"/>
        <family val="1"/>
        <charset val="204"/>
      </rPr>
      <t>y</t>
    </r>
    <r>
      <rPr>
        <sz val="11"/>
        <color theme="1"/>
        <rFont val="Times New Roman"/>
        <family val="1"/>
        <charset val="204"/>
      </rPr>
      <t xml:space="preserve"> в щепе древесной</t>
    </r>
  </si>
  <si>
    <r>
      <t xml:space="preserve">Нетто-выбросы в год </t>
    </r>
    <r>
      <rPr>
        <i/>
        <sz val="11"/>
        <color theme="1"/>
        <rFont val="Times New Roman"/>
        <family val="1"/>
        <charset val="204"/>
      </rPr>
      <t>y</t>
    </r>
    <r>
      <rPr>
        <sz val="11"/>
        <color theme="1"/>
        <rFont val="Times New Roman"/>
        <family val="1"/>
        <charset val="204"/>
      </rPr>
      <t xml:space="preserve"> по базовой линии от складирования щепы древесной</t>
    </r>
  </si>
  <si>
    <t>Удельный расход электроэнергии линии для подготовки древесной щепы на местах складирования</t>
  </si>
  <si>
    <t>Расстояние «туда-обратно» до места складирования древесной щепы</t>
  </si>
  <si>
    <r>
      <t>кВт⋅ч/м</t>
    </r>
    <r>
      <rPr>
        <vertAlign val="superscript"/>
        <sz val="11"/>
        <color theme="1"/>
        <rFont val="Times New Roman"/>
        <family val="1"/>
        <charset val="204"/>
      </rPr>
      <t>3</t>
    </r>
  </si>
  <si>
    <r>
      <t>Удельный расход на 1 м</t>
    </r>
    <r>
      <rPr>
        <vertAlign val="superscript"/>
        <sz val="11"/>
        <color theme="1"/>
        <rFont val="Times New Roman"/>
        <family val="1"/>
        <charset val="204"/>
      </rPr>
      <t>3</t>
    </r>
    <r>
      <rPr>
        <sz val="11"/>
        <color theme="1"/>
        <rFont val="Times New Roman"/>
        <family val="1"/>
        <charset val="204"/>
      </rPr>
      <t xml:space="preserve"> арболитового блока</t>
    </r>
  </si>
  <si>
    <t>МВт·ч/год</t>
  </si>
  <si>
    <t>Расход сырья для производства требуемого количества арболита (Q_P,j,y)</t>
  </si>
  <si>
    <t>`</t>
  </si>
  <si>
    <t xml:space="preserve">Запас С (суммарный) в пуле щепы древесной к концу текущего года, тонн С (с учетом их постепенного разложения), т С/год </t>
  </si>
  <si>
    <t>Запас С (суммарный) в пуле щепы древесной к концу текущего года, тонн С/год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</si>
</sst>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00"/>
    <numFmt numFmtId="166" formatCode="0.0000000000000"/>
  </numFmts>
  <fonts count="49">
    <font>
      <sz val="11"/>
      <color theme="1"/>
      <name val="Aptos Narrow"/>
      <family val="2"/>
      <charset val="204"/>
      <scheme val="minor"/>
    </font>
    <font>
      <sz val="11"/>
      <color theme="1"/>
      <name val="Aptos Narrow"/>
      <family val="2"/>
      <charset val="204"/>
      <scheme val="minor"/>
    </font>
    <font>
      <sz val="12"/>
      <color theme="5" tint="-0.249977111117893"/>
      <name val="Times New Roman"/>
      <family val="1"/>
      <charset val="204"/>
    </font>
    <font>
      <sz val="11"/>
      <color theme="5" tint="-0.249977111117893"/>
      <name val="Aptos Narrow"/>
      <family val="2"/>
      <scheme val="minor"/>
    </font>
    <font>
      <sz val="10"/>
      <name val="Arial"/>
      <family val="2"/>
      <charset val="204"/>
    </font>
    <font>
      <b/>
      <sz val="10"/>
      <name val="Aptos Display"/>
      <family val="2"/>
      <charset val="204"/>
      <scheme val="major"/>
    </font>
    <font>
      <b/>
      <sz val="9"/>
      <name val="Aptos Display"/>
      <family val="2"/>
      <charset val="204"/>
      <scheme val="major"/>
    </font>
    <font>
      <b/>
      <sz val="11"/>
      <color theme="1"/>
      <name val="Aptos Display"/>
      <family val="2"/>
      <charset val="204"/>
      <scheme val="major"/>
    </font>
    <font>
      <b/>
      <sz val="10"/>
      <color theme="1"/>
      <name val="Aptos Display"/>
      <family val="2"/>
      <charset val="204"/>
      <scheme val="major"/>
    </font>
    <font>
      <sz val="11"/>
      <color theme="1"/>
      <name val="Aptos Narrow"/>
      <family val="2"/>
      <scheme val="minor"/>
    </font>
    <font>
      <b/>
      <sz val="11"/>
      <name val="Aptos Narrow"/>
      <family val="2"/>
      <scheme val="minor"/>
    </font>
    <font>
      <sz val="11"/>
      <name val="Aptos Narrow"/>
      <family val="2"/>
      <scheme val="minor"/>
    </font>
    <font>
      <vertAlign val="subscript"/>
      <sz val="11"/>
      <name val="Aptos Narrow"/>
      <family val="2"/>
      <scheme val="minor"/>
    </font>
    <font>
      <b/>
      <vertAlign val="subscript"/>
      <sz val="11"/>
      <name val="Aptos Narrow"/>
      <family val="2"/>
      <scheme val="minor"/>
    </font>
    <font>
      <vertAlign val="superscript"/>
      <sz val="11"/>
      <color theme="1"/>
      <name val="Aptos Narrow"/>
      <family val="2"/>
      <scheme val="minor"/>
    </font>
    <font>
      <vertAlign val="subscript"/>
      <sz val="11"/>
      <color theme="1"/>
      <name val="Aptos Narrow"/>
      <family val="2"/>
      <scheme val="minor"/>
    </font>
    <font>
      <sz val="10"/>
      <color theme="1"/>
      <name val="Aptos Narrow"/>
      <family val="2"/>
      <charset val="204"/>
      <scheme val="minor"/>
    </font>
    <font>
      <sz val="10"/>
      <color rgb="FF000000"/>
      <name val="Roboto"/>
      <charset val="204"/>
    </font>
    <font>
      <i/>
      <sz val="10"/>
      <color theme="1"/>
      <name val="KaTeX_Math"/>
    </font>
    <font>
      <i/>
      <sz val="10"/>
      <color theme="1"/>
      <name val="Aptos Narrow"/>
      <family val="2"/>
      <charset val="204"/>
      <scheme val="minor"/>
    </font>
    <font>
      <sz val="10"/>
      <name val="Arial"/>
      <family val="2"/>
    </font>
    <font>
      <sz val="10"/>
      <color indexed="8"/>
      <name val="Arial"/>
      <family val="2"/>
    </font>
    <font>
      <sz val="11"/>
      <color theme="1"/>
      <name val="Aptos Narrow"/>
      <family val="2"/>
    </font>
    <font>
      <sz val="12"/>
      <color theme="1"/>
      <name val="Times New Roman"/>
      <family val="1"/>
      <charset val="204"/>
    </font>
    <font>
      <sz val="8"/>
      <name val="Aptos Narrow"/>
      <family val="2"/>
      <charset val="204"/>
      <scheme val="minor"/>
    </font>
    <font>
      <sz val="11"/>
      <color theme="1"/>
      <name val="Times New Roman"/>
      <family val="1"/>
      <charset val="204"/>
    </font>
    <font>
      <i/>
      <sz val="11"/>
      <color theme="1"/>
      <name val="Times New Roman"/>
      <family val="1"/>
      <charset val="204"/>
    </font>
    <font>
      <vertAlign val="subscript"/>
      <sz val="11"/>
      <color theme="1"/>
      <name val="Times New Roman"/>
      <family val="1"/>
      <charset val="204"/>
    </font>
    <font>
      <vertAlign val="superscript"/>
      <sz val="11"/>
      <color theme="1"/>
      <name val="Times New Roman"/>
      <family val="1"/>
      <charset val="204"/>
    </font>
    <font>
      <sz val="11"/>
      <color rgb="FF0D0D0D"/>
      <name val="Arial"/>
      <family val="2"/>
      <charset val="204"/>
    </font>
    <font>
      <vertAlign val="subscript"/>
      <sz val="11"/>
      <color rgb="FF0D0D0D"/>
      <name val="Arial"/>
      <family val="2"/>
      <charset val="204"/>
    </font>
    <font>
      <sz val="11"/>
      <color rgb="FF000000"/>
      <name val="Arial"/>
      <family val="2"/>
      <charset val="204"/>
    </font>
    <font>
      <b/>
      <sz val="11"/>
      <color rgb="FF0D0D0D"/>
      <name val="Arial"/>
      <family val="2"/>
      <charset val="204"/>
    </font>
    <font>
      <b/>
      <vertAlign val="subscript"/>
      <sz val="11"/>
      <color rgb="FF0D0D0D"/>
      <name val="Arial"/>
      <family val="2"/>
      <charset val="204"/>
    </font>
    <font>
      <u/>
      <sz val="11"/>
      <color theme="10"/>
      <name val="Aptos Narrow"/>
      <family val="2"/>
      <charset val="204"/>
      <scheme val="minor"/>
    </font>
    <font>
      <sz val="11"/>
      <color theme="1"/>
      <name val="Symbol"/>
      <family val="1"/>
      <charset val="2"/>
    </font>
    <font>
      <i/>
      <vertAlign val="superscript"/>
      <sz val="11"/>
      <color theme="1"/>
      <name val="Times New Roman"/>
      <family val="1"/>
      <charset val="204"/>
    </font>
    <font>
      <b/>
      <sz val="11"/>
      <color theme="1"/>
      <name val="Times New Roman"/>
      <family val="1"/>
      <charset val="204"/>
    </font>
    <font>
      <sz val="10"/>
      <color theme="1"/>
      <name val="Times New Roman"/>
      <family val="1"/>
      <charset val="204"/>
    </font>
    <font>
      <sz val="10"/>
      <name val="Times New Roman"/>
      <family val="1"/>
      <charset val="204"/>
    </font>
    <font>
      <sz val="9"/>
      <color theme="1"/>
      <name val="Times New Roman"/>
      <family val="1"/>
      <charset val="204"/>
    </font>
    <font>
      <sz val="11"/>
      <name val="Times New Roman"/>
      <family val="1"/>
      <charset val="204"/>
    </font>
    <font>
      <sz val="11"/>
      <color rgb="FFFF0000"/>
      <name val="Times New Roman"/>
      <family val="1"/>
      <charset val="204"/>
    </font>
    <font>
      <sz val="9"/>
      <name val="Times New Roman"/>
      <family val="1"/>
      <charset val="204"/>
    </font>
    <font>
      <sz val="9"/>
      <color indexed="8"/>
      <name val="Times New Roman"/>
      <family val="1"/>
      <charset val="204"/>
    </font>
    <font>
      <u/>
      <sz val="11"/>
      <color theme="10"/>
      <name val="Times New Roman"/>
      <family val="1"/>
      <charset val="204"/>
    </font>
    <font>
      <sz val="11"/>
      <color theme="6" tint="0.39997558519241921"/>
      <name val="Times New Roman"/>
      <family val="1"/>
      <charset val="204"/>
    </font>
    <font>
      <vertAlign val="subscript"/>
      <sz val="11"/>
      <name val="Times New Roman"/>
      <family val="1"/>
      <charset val="204"/>
    </font>
    <font>
      <sz val="12"/>
      <color theme="1"/>
      <name val="Arial"/>
      <family val="2"/>
      <charset val="204"/>
    </font>
  </fonts>
  <fills count="5">
    <fill>
      <patternFill patternType="none"/>
    </fill>
    <fill>
      <patternFill patternType="gray125"/>
    </fill>
    <fill>
      <patternFill patternType="solid">
        <fgColor theme="4" tint="0.39997558519241921"/>
        <bgColor indexed="64"/>
      </patternFill>
    </fill>
    <fill>
      <patternFill patternType="solid">
        <fgColor rgb="FF92D050"/>
        <bgColor indexed="64"/>
      </patternFill>
    </fill>
    <fill>
      <patternFill patternType="solid">
        <fgColor rgb="FFF2F2F2"/>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diagonalDown="1">
      <left style="thin">
        <color indexed="64"/>
      </left>
      <right style="thin">
        <color indexed="64"/>
      </right>
      <top style="thin">
        <color indexed="64"/>
      </top>
      <bottom style="thin">
        <color indexed="64"/>
      </bottom>
      <diagonal style="thin">
        <color auto="1"/>
      </diagonal>
    </border>
    <border diagonalDown="1">
      <left style="thin">
        <color indexed="64"/>
      </left>
      <right style="thin">
        <color indexed="64"/>
      </right>
      <top style="thin">
        <color indexed="64"/>
      </top>
      <bottom/>
      <diagonal style="thin">
        <color auto="1"/>
      </diagonal>
    </border>
    <border>
      <left style="thin">
        <color indexed="64"/>
      </left>
      <right/>
      <top style="thin">
        <color indexed="64"/>
      </top>
      <bottom/>
      <diagonal/>
    </border>
    <border>
      <left style="thin">
        <color indexed="64"/>
      </left>
      <right/>
      <top style="thin">
        <color indexed="64"/>
      </top>
      <bottom style="thin">
        <color indexed="64"/>
      </bottom>
      <diagonal/>
    </border>
    <border>
      <left style="medium">
        <color theme="2" tint="-0.249977111117893"/>
      </left>
      <right style="medium">
        <color theme="2" tint="-0.249977111117893"/>
      </right>
      <top style="medium">
        <color theme="2" tint="-0.249977111117893"/>
      </top>
      <bottom style="medium">
        <color theme="2" tint="-0.249977111117893"/>
      </bottom>
      <diagonal/>
    </border>
    <border>
      <left style="medium">
        <color theme="2" tint="-0.249977111117893"/>
      </left>
      <right/>
      <top style="medium">
        <color theme="2" tint="-0.249977111117893"/>
      </top>
      <bottom style="medium">
        <color theme="2" tint="-0.249977111117893"/>
      </bottom>
      <diagonal/>
    </border>
    <border>
      <left/>
      <right/>
      <top style="medium">
        <color theme="2" tint="-0.249977111117893"/>
      </top>
      <bottom style="medium">
        <color theme="2" tint="-0.249977111117893"/>
      </bottom>
      <diagonal/>
    </border>
    <border>
      <left/>
      <right style="medium">
        <color theme="2" tint="-0.249977111117893"/>
      </right>
      <top style="medium">
        <color theme="2" tint="-0.249977111117893"/>
      </top>
      <bottom style="medium">
        <color theme="2" tint="-0.249977111117893"/>
      </bottom>
      <diagonal/>
    </border>
  </borders>
  <cellStyleXfs count="6">
    <xf numFmtId="0" fontId="0" fillId="0" borderId="0"/>
    <xf numFmtId="0" fontId="4" fillId="0" borderId="0"/>
    <xf numFmtId="0" fontId="1" fillId="0" borderId="0"/>
    <xf numFmtId="0" fontId="4" fillId="0" borderId="0"/>
    <xf numFmtId="0" fontId="4" fillId="0" borderId="0"/>
    <xf numFmtId="0" fontId="34" fillId="0" borderId="0" applyNumberFormat="0" applyFill="0" applyBorder="0" applyAlignment="0" applyProtection="0"/>
  </cellStyleXfs>
  <cellXfs count="203">
    <xf numFmtId="0" fontId="0" fillId="0" borderId="0" xfId="0"/>
    <xf numFmtId="0" fontId="0" fillId="0" borderId="1" xfId="0" applyBorder="1" applyAlignment="1">
      <alignment wrapText="1"/>
    </xf>
    <xf numFmtId="164" fontId="2" fillId="0" borderId="1" xfId="0" applyNumberFormat="1" applyFont="1" applyBorder="1"/>
    <xf numFmtId="0" fontId="3" fillId="0" borderId="1" xfId="0" applyFont="1" applyBorder="1"/>
    <xf numFmtId="1" fontId="3" fillId="0" borderId="1" xfId="0" applyNumberFormat="1" applyFont="1" applyBorder="1"/>
    <xf numFmtId="0" fontId="5" fillId="0" borderId="1" xfId="1" applyFont="1" applyBorder="1" applyAlignment="1">
      <alignment horizontal="left" wrapText="1"/>
    </xf>
    <xf numFmtId="0" fontId="5" fillId="2" borderId="1" xfId="1" applyFont="1" applyFill="1" applyBorder="1" applyAlignment="1">
      <alignment horizontal="center"/>
    </xf>
    <xf numFmtId="0" fontId="6" fillId="0" borderId="1" xfId="1" applyFont="1" applyBorder="1" applyAlignment="1">
      <alignment horizontal="left"/>
    </xf>
    <xf numFmtId="0" fontId="7" fillId="0" borderId="1" xfId="0" applyFont="1" applyBorder="1" applyAlignment="1">
      <alignment horizontal="left" wrapText="1"/>
    </xf>
    <xf numFmtId="0" fontId="8" fillId="2" borderId="1" xfId="0" applyFont="1" applyFill="1" applyBorder="1" applyAlignment="1">
      <alignment horizontal="center"/>
    </xf>
    <xf numFmtId="0" fontId="0" fillId="0" borderId="0" xfId="0" applyAlignment="1">
      <alignment wrapText="1"/>
    </xf>
    <xf numFmtId="3" fontId="0" fillId="0" borderId="0" xfId="0" applyNumberFormat="1"/>
    <xf numFmtId="0" fontId="9" fillId="0" borderId="0" xfId="0" applyFont="1"/>
    <xf numFmtId="0" fontId="9" fillId="0" borderId="0" xfId="0" applyFont="1" applyAlignment="1">
      <alignment wrapText="1"/>
    </xf>
    <xf numFmtId="0" fontId="9" fillId="0" borderId="0" xfId="0" applyFont="1" applyAlignment="1">
      <alignment horizontal="center" vertical="center" wrapText="1"/>
    </xf>
    <xf numFmtId="0" fontId="9"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7" xfId="0" applyFont="1" applyBorder="1" applyAlignment="1">
      <alignment horizontal="center" vertical="center" wrapText="1"/>
    </xf>
    <xf numFmtId="3" fontId="9" fillId="0" borderId="0" xfId="0" applyNumberFormat="1" applyFont="1"/>
    <xf numFmtId="0" fontId="10" fillId="0" borderId="2"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4" xfId="0" applyFont="1" applyBorder="1" applyAlignment="1">
      <alignment horizontal="center" vertical="center" wrapText="1"/>
    </xf>
    <xf numFmtId="0" fontId="11" fillId="0" borderId="8" xfId="0" applyFont="1" applyBorder="1" applyAlignment="1">
      <alignment horizontal="center" vertical="center"/>
    </xf>
    <xf numFmtId="3" fontId="11" fillId="0" borderId="9" xfId="0" applyNumberFormat="1" applyFont="1" applyBorder="1" applyAlignment="1" applyProtection="1">
      <alignment vertical="center"/>
      <protection locked="0"/>
    </xf>
    <xf numFmtId="3" fontId="11" fillId="0" borderId="0" xfId="0" applyNumberFormat="1" applyFont="1" applyAlignment="1">
      <alignment horizontal="center" vertical="center"/>
    </xf>
    <xf numFmtId="3" fontId="11" fillId="0" borderId="10" xfId="0" applyNumberFormat="1" applyFont="1" applyBorder="1" applyAlignment="1">
      <alignment horizontal="center" vertical="center"/>
    </xf>
    <xf numFmtId="0" fontId="11" fillId="0" borderId="8" xfId="0" applyFont="1" applyBorder="1" applyAlignment="1">
      <alignment horizontal="center" vertical="center" wrapText="1"/>
    </xf>
    <xf numFmtId="0" fontId="11" fillId="0" borderId="0" xfId="0" applyFont="1"/>
    <xf numFmtId="0" fontId="11" fillId="0" borderId="11" xfId="0" applyFont="1" applyBorder="1" applyAlignment="1">
      <alignment horizontal="center" vertical="center"/>
    </xf>
    <xf numFmtId="0" fontId="11" fillId="0" borderId="12" xfId="0" applyFont="1" applyBorder="1" applyAlignment="1">
      <alignment horizontal="center" vertical="center"/>
    </xf>
    <xf numFmtId="0" fontId="11" fillId="0" borderId="12" xfId="0" applyFont="1" applyBorder="1" applyAlignment="1">
      <alignment horizontal="center" vertical="center" wrapText="1"/>
    </xf>
    <xf numFmtId="164" fontId="11" fillId="0" borderId="13" xfId="0" applyNumberFormat="1" applyFont="1" applyBorder="1" applyAlignment="1">
      <alignment horizontal="center" vertical="center"/>
    </xf>
    <xf numFmtId="0" fontId="11" fillId="0" borderId="13" xfId="0" applyFont="1" applyBorder="1" applyAlignment="1">
      <alignment horizontal="center" vertical="center"/>
    </xf>
    <xf numFmtId="9" fontId="11" fillId="0" borderId="13" xfId="0" applyNumberFormat="1" applyFont="1" applyBorder="1" applyAlignment="1">
      <alignment horizontal="center" vertical="center"/>
    </xf>
    <xf numFmtId="0" fontId="11" fillId="0" borderId="14" xfId="0" applyFont="1" applyBorder="1" applyAlignment="1">
      <alignment horizontal="center" vertical="center" wrapText="1"/>
    </xf>
    <xf numFmtId="0" fontId="11" fillId="0" borderId="15" xfId="0" applyFont="1" applyBorder="1" applyAlignment="1">
      <alignment horizontal="center" vertical="center"/>
    </xf>
    <xf numFmtId="0" fontId="11" fillId="0" borderId="16" xfId="0" applyFont="1" applyBorder="1" applyAlignment="1">
      <alignment vertical="top" wrapText="1"/>
    </xf>
    <xf numFmtId="0" fontId="10" fillId="0" borderId="17" xfId="0" applyFont="1" applyBorder="1" applyAlignment="1">
      <alignment horizontal="right" vertical="center"/>
    </xf>
    <xf numFmtId="3" fontId="10" fillId="0" borderId="18" xfId="0" applyNumberFormat="1" applyFont="1" applyBorder="1" applyAlignment="1">
      <alignment vertical="center"/>
    </xf>
    <xf numFmtId="3" fontId="11" fillId="0" borderId="19" xfId="0" applyNumberFormat="1" applyFont="1" applyBorder="1" applyAlignment="1">
      <alignment horizontal="center" vertical="center"/>
    </xf>
    <xf numFmtId="0" fontId="10" fillId="0" borderId="20" xfId="0" applyFont="1" applyBorder="1" applyAlignment="1">
      <alignment vertical="center"/>
    </xf>
    <xf numFmtId="0" fontId="10" fillId="0" borderId="18" xfId="0" applyFont="1" applyBorder="1" applyAlignment="1">
      <alignment vertical="center"/>
    </xf>
    <xf numFmtId="3" fontId="10" fillId="0" borderId="20" xfId="0" applyNumberFormat="1" applyFont="1" applyBorder="1" applyAlignment="1">
      <alignment horizontal="center" vertical="center"/>
    </xf>
    <xf numFmtId="3" fontId="10" fillId="0" borderId="18" xfId="0" applyNumberFormat="1" applyFont="1" applyBorder="1" applyAlignment="1">
      <alignment horizontal="center" vertical="center"/>
    </xf>
    <xf numFmtId="0" fontId="11" fillId="0" borderId="1" xfId="0" applyFont="1" applyBorder="1" applyAlignment="1">
      <alignment horizontal="centerContinuous" vertical="top" wrapText="1"/>
    </xf>
    <xf numFmtId="0" fontId="9" fillId="0" borderId="1" xfId="0" applyFont="1" applyBorder="1" applyAlignment="1">
      <alignment wrapText="1"/>
    </xf>
    <xf numFmtId="0" fontId="9" fillId="0" borderId="1" xfId="0" applyFont="1" applyBorder="1"/>
    <xf numFmtId="1" fontId="0" fillId="0" borderId="0" xfId="0" applyNumberFormat="1"/>
    <xf numFmtId="0" fontId="0" fillId="0" borderId="1" xfId="0" applyBorder="1"/>
    <xf numFmtId="1" fontId="0" fillId="0" borderId="1" xfId="0" applyNumberFormat="1" applyBorder="1"/>
    <xf numFmtId="0" fontId="9" fillId="0" borderId="1" xfId="0" applyFont="1" applyBorder="1" applyAlignment="1">
      <alignment horizontal="centerContinuous" wrapText="1"/>
    </xf>
    <xf numFmtId="0" fontId="0" fillId="0" borderId="1" xfId="0" applyBorder="1" applyAlignment="1">
      <alignment horizontal="centerContinuous"/>
    </xf>
    <xf numFmtId="0" fontId="11" fillId="0" borderId="1" xfId="0" applyFont="1" applyBorder="1" applyAlignment="1">
      <alignment horizontal="centerContinuous"/>
    </xf>
    <xf numFmtId="164" fontId="9" fillId="0" borderId="1" xfId="0" applyNumberFormat="1" applyFont="1" applyBorder="1"/>
    <xf numFmtId="0" fontId="0" fillId="0" borderId="1" xfId="0" applyBorder="1" applyAlignment="1">
      <alignment horizontal="left" vertical="center" wrapText="1"/>
    </xf>
    <xf numFmtId="164" fontId="0" fillId="0" borderId="1" xfId="0" applyNumberFormat="1" applyBorder="1"/>
    <xf numFmtId="2" fontId="0" fillId="0" borderId="1" xfId="0" applyNumberFormat="1" applyBorder="1"/>
    <xf numFmtId="0" fontId="0" fillId="0" borderId="21" xfId="0" applyBorder="1"/>
    <xf numFmtId="0" fontId="1" fillId="0" borderId="17" xfId="2" applyBorder="1"/>
    <xf numFmtId="0" fontId="1" fillId="0" borderId="2" xfId="2" applyBorder="1"/>
    <xf numFmtId="0" fontId="17" fillId="0" borderId="22" xfId="2" applyFont="1" applyBorder="1"/>
    <xf numFmtId="1" fontId="1" fillId="0" borderId="23" xfId="2" applyNumberFormat="1" applyBorder="1"/>
    <xf numFmtId="0" fontId="1" fillId="0" borderId="25" xfId="2" applyBorder="1"/>
    <xf numFmtId="0" fontId="16" fillId="0" borderId="0" xfId="2" applyFont="1" applyAlignment="1">
      <alignment wrapText="1"/>
    </xf>
    <xf numFmtId="0" fontId="1" fillId="0" borderId="24" xfId="2" applyBorder="1"/>
    <xf numFmtId="0" fontId="16" fillId="0" borderId="25" xfId="2" applyFont="1" applyBorder="1" applyAlignment="1">
      <alignment vertical="center" wrapText="1"/>
    </xf>
    <xf numFmtId="0" fontId="18" fillId="0" borderId="0" xfId="2" applyFont="1" applyAlignment="1">
      <alignment wrapText="1"/>
    </xf>
    <xf numFmtId="0" fontId="1" fillId="0" borderId="24" xfId="2" applyBorder="1" applyAlignment="1">
      <alignment horizontal="right"/>
    </xf>
    <xf numFmtId="0" fontId="1" fillId="0" borderId="0" xfId="2"/>
    <xf numFmtId="165" fontId="20" fillId="0" borderId="24" xfId="4" applyNumberFormat="1" applyFont="1" applyBorder="1" applyAlignment="1">
      <alignment horizontal="right"/>
    </xf>
    <xf numFmtId="0" fontId="21" fillId="0" borderId="0" xfId="3" applyFont="1"/>
    <xf numFmtId="2" fontId="4" fillId="0" borderId="24" xfId="3" applyNumberFormat="1" applyBorder="1" applyAlignment="1">
      <alignment horizontal="right"/>
    </xf>
    <xf numFmtId="0" fontId="1" fillId="0" borderId="0" xfId="2" applyAlignment="1">
      <alignment wrapText="1"/>
    </xf>
    <xf numFmtId="1" fontId="1" fillId="0" borderId="24" xfId="2" applyNumberFormat="1" applyBorder="1" applyAlignment="1">
      <alignment horizontal="right"/>
    </xf>
    <xf numFmtId="0" fontId="1" fillId="0" borderId="26" xfId="2" applyBorder="1" applyAlignment="1">
      <alignment wrapText="1"/>
    </xf>
    <xf numFmtId="1" fontId="1" fillId="0" borderId="27" xfId="2" applyNumberFormat="1" applyBorder="1" applyAlignment="1">
      <alignment horizontal="right"/>
    </xf>
    <xf numFmtId="0" fontId="1" fillId="0" borderId="1" xfId="2" applyBorder="1" applyAlignment="1">
      <alignment wrapText="1"/>
    </xf>
    <xf numFmtId="1" fontId="1" fillId="0" borderId="1" xfId="2" applyNumberFormat="1" applyBorder="1"/>
    <xf numFmtId="0" fontId="16" fillId="0" borderId="1" xfId="3" applyFont="1" applyBorder="1" applyAlignment="1">
      <alignment horizontal="left" wrapText="1"/>
    </xf>
    <xf numFmtId="0" fontId="0" fillId="0" borderId="1" xfId="2" applyFont="1" applyBorder="1"/>
    <xf numFmtId="0" fontId="0" fillId="0" borderId="1" xfId="2" applyFont="1" applyBorder="1" applyAlignment="1">
      <alignment wrapText="1"/>
    </xf>
    <xf numFmtId="3" fontId="0" fillId="0" borderId="1" xfId="0" applyNumberFormat="1" applyBorder="1"/>
    <xf numFmtId="0" fontId="7" fillId="0" borderId="0" xfId="0" applyFont="1" applyAlignment="1">
      <alignment horizontal="left" wrapText="1"/>
    </xf>
    <xf numFmtId="0" fontId="8" fillId="2" borderId="0" xfId="0" applyFont="1" applyFill="1" applyAlignment="1">
      <alignment horizontal="center"/>
    </xf>
    <xf numFmtId="0" fontId="0" fillId="0" borderId="28" xfId="0" applyBorder="1"/>
    <xf numFmtId="1" fontId="9" fillId="0" borderId="1" xfId="0" applyNumberFormat="1" applyFont="1" applyBorder="1"/>
    <xf numFmtId="164" fontId="9" fillId="0" borderId="0" xfId="0" applyNumberFormat="1" applyFont="1"/>
    <xf numFmtId="1" fontId="9" fillId="0" borderId="0" xfId="0" applyNumberFormat="1" applyFont="1"/>
    <xf numFmtId="164" fontId="0" fillId="0" borderId="0" xfId="0" applyNumberFormat="1"/>
    <xf numFmtId="0" fontId="23" fillId="0" borderId="1" xfId="0" applyFont="1" applyBorder="1"/>
    <xf numFmtId="0" fontId="25" fillId="0" borderId="0" xfId="0" applyFont="1"/>
    <xf numFmtId="0" fontId="25" fillId="0" borderId="0" xfId="0" applyFont="1" applyAlignment="1">
      <alignment horizontal="left" vertical="center" wrapText="1"/>
    </xf>
    <xf numFmtId="0" fontId="25" fillId="0" borderId="31" xfId="0" applyFont="1" applyBorder="1" applyAlignment="1">
      <alignment horizontal="left" vertical="center" wrapText="1"/>
    </xf>
    <xf numFmtId="0" fontId="25" fillId="0" borderId="21" xfId="0" applyFont="1" applyBorder="1" applyAlignment="1">
      <alignment horizontal="center" vertical="center"/>
    </xf>
    <xf numFmtId="0" fontId="25" fillId="0" borderId="1" xfId="0" applyFont="1" applyBorder="1"/>
    <xf numFmtId="0" fontId="25" fillId="0" borderId="1" xfId="0" applyFont="1" applyBorder="1" applyAlignment="1">
      <alignment horizontal="left" vertical="center" wrapText="1"/>
    </xf>
    <xf numFmtId="0" fontId="25" fillId="0" borderId="1" xfId="0" applyFont="1" applyBorder="1" applyAlignment="1">
      <alignment horizontal="center" vertical="center"/>
    </xf>
    <xf numFmtId="1" fontId="25" fillId="0" borderId="1" xfId="0" applyNumberFormat="1" applyFont="1" applyBorder="1"/>
    <xf numFmtId="1" fontId="25" fillId="0" borderId="1" xfId="0" applyNumberFormat="1" applyFont="1" applyBorder="1" applyAlignment="1">
      <alignment horizontal="right" vertical="center"/>
    </xf>
    <xf numFmtId="1" fontId="25" fillId="0" borderId="1" xfId="0" applyNumberFormat="1" applyFont="1" applyBorder="1" applyAlignment="1">
      <alignment vertical="center"/>
    </xf>
    <xf numFmtId="0" fontId="25" fillId="0" borderId="1" xfId="0" applyFont="1" applyBorder="1" applyAlignment="1">
      <alignment vertical="center" wrapText="1"/>
    </xf>
    <xf numFmtId="0" fontId="25" fillId="0" borderId="30" xfId="0" applyFont="1" applyBorder="1" applyAlignment="1">
      <alignment horizontal="left" vertical="center" wrapText="1"/>
    </xf>
    <xf numFmtId="0" fontId="25" fillId="0" borderId="0" xfId="0" applyFont="1" applyAlignment="1">
      <alignment horizontal="center" vertical="center"/>
    </xf>
    <xf numFmtId="0" fontId="26" fillId="0" borderId="1" xfId="0" applyFont="1" applyBorder="1" applyAlignment="1">
      <alignment horizontal="center" vertical="center"/>
    </xf>
    <xf numFmtId="2" fontId="25" fillId="0" borderId="1" xfId="0" applyNumberFormat="1" applyFont="1" applyBorder="1"/>
    <xf numFmtId="164" fontId="25" fillId="0" borderId="1" xfId="0" applyNumberFormat="1" applyFont="1" applyBorder="1"/>
    <xf numFmtId="0" fontId="25" fillId="0" borderId="0" xfId="0" applyFont="1" applyAlignment="1">
      <alignment vertical="center" wrapText="1"/>
    </xf>
    <xf numFmtId="0" fontId="26" fillId="0" borderId="0" xfId="0" applyFont="1" applyAlignment="1">
      <alignment horizontal="center" vertical="center"/>
    </xf>
    <xf numFmtId="0" fontId="25" fillId="0" borderId="16" xfId="0" applyFont="1" applyBorder="1" applyAlignment="1">
      <alignment vertical="center" wrapText="1"/>
    </xf>
    <xf numFmtId="0" fontId="25" fillId="0" borderId="16" xfId="0" applyFont="1" applyBorder="1" applyAlignment="1">
      <alignment horizontal="center" vertical="center"/>
    </xf>
    <xf numFmtId="0" fontId="25" fillId="0" borderId="1" xfId="0" applyFont="1" applyBorder="1" applyAlignment="1">
      <alignment vertical="center"/>
    </xf>
    <xf numFmtId="0" fontId="25" fillId="0" borderId="0" xfId="0" applyFont="1" applyAlignment="1">
      <alignment vertical="center"/>
    </xf>
    <xf numFmtId="0" fontId="25" fillId="0" borderId="1" xfId="0" applyFont="1" applyBorder="1" applyAlignment="1">
      <alignment horizontal="left" vertical="center" wrapText="1" indent="1"/>
    </xf>
    <xf numFmtId="0" fontId="25" fillId="0" borderId="1" xfId="0" applyFont="1" applyBorder="1" applyAlignment="1">
      <alignment horizontal="left" vertical="center" wrapText="1" indent="2"/>
    </xf>
    <xf numFmtId="1" fontId="25" fillId="0" borderId="0" xfId="0" applyNumberFormat="1" applyFont="1"/>
    <xf numFmtId="0" fontId="25" fillId="0" borderId="1" xfId="0" applyFont="1" applyBorder="1" applyAlignment="1">
      <alignment horizontal="centerContinuous" wrapText="1"/>
    </xf>
    <xf numFmtId="0" fontId="25" fillId="0" borderId="1" xfId="0" applyFont="1" applyBorder="1" applyAlignment="1">
      <alignment horizontal="centerContinuous"/>
    </xf>
    <xf numFmtId="0" fontId="25" fillId="0" borderId="1" xfId="0" applyFont="1" applyBorder="1" applyAlignment="1">
      <alignment wrapText="1"/>
    </xf>
    <xf numFmtId="0" fontId="25" fillId="0" borderId="3" xfId="0" applyFont="1" applyBorder="1" applyAlignment="1">
      <alignment horizontal="centerContinuous"/>
    </xf>
    <xf numFmtId="0" fontId="25" fillId="0" borderId="29" xfId="0" applyFont="1" applyBorder="1"/>
    <xf numFmtId="0" fontId="25" fillId="0" borderId="20" xfId="0" applyFont="1" applyBorder="1" applyAlignment="1">
      <alignment horizontal="centerContinuous"/>
    </xf>
    <xf numFmtId="0" fontId="25" fillId="0" borderId="18" xfId="0" applyFont="1" applyBorder="1" applyAlignment="1">
      <alignment horizontal="centerContinuous"/>
    </xf>
    <xf numFmtId="0" fontId="25" fillId="0" borderId="3" xfId="0" applyFont="1" applyBorder="1" applyAlignment="1">
      <alignment horizontal="centerContinuous" vertical="center"/>
    </xf>
    <xf numFmtId="0" fontId="25" fillId="0" borderId="1" xfId="0" applyFont="1" applyBorder="1" applyAlignment="1">
      <alignment horizontal="right"/>
    </xf>
    <xf numFmtId="0" fontId="25" fillId="0" borderId="1" xfId="0" applyFont="1" applyBorder="1" applyAlignment="1">
      <alignment horizontal="left" indent="2"/>
    </xf>
    <xf numFmtId="0" fontId="26" fillId="0" borderId="0" xfId="0" applyFont="1"/>
    <xf numFmtId="1" fontId="25" fillId="0" borderId="1" xfId="0" applyNumberFormat="1" applyFont="1" applyFill="1" applyBorder="1"/>
    <xf numFmtId="0" fontId="25" fillId="0" borderId="0" xfId="0" applyFont="1" applyFill="1"/>
    <xf numFmtId="0" fontId="25" fillId="0" borderId="32" xfId="0" applyFont="1" applyBorder="1" applyAlignment="1">
      <alignment horizontal="center" vertical="center"/>
    </xf>
    <xf numFmtId="1" fontId="25" fillId="0" borderId="33" xfId="0" applyNumberFormat="1" applyFont="1" applyBorder="1"/>
    <xf numFmtId="1" fontId="25" fillId="0" borderId="33" xfId="0" applyNumberFormat="1" applyFont="1" applyBorder="1" applyAlignment="1">
      <alignment horizontal="right" vertical="center"/>
    </xf>
    <xf numFmtId="1" fontId="25" fillId="0" borderId="33" xfId="0" applyNumberFormat="1" applyFont="1" applyBorder="1" applyAlignment="1">
      <alignment vertical="center"/>
    </xf>
    <xf numFmtId="0" fontId="37" fillId="0" borderId="3" xfId="0" applyFont="1" applyFill="1" applyBorder="1" applyAlignment="1">
      <alignment horizontal="center" vertical="center"/>
    </xf>
    <xf numFmtId="1" fontId="37" fillId="0" borderId="3" xfId="0" applyNumberFormat="1" applyFont="1" applyFill="1" applyBorder="1"/>
    <xf numFmtId="0" fontId="25" fillId="0" borderId="0" xfId="2" applyFont="1" applyFill="1" applyAlignment="1">
      <alignment horizontal="center"/>
    </xf>
    <xf numFmtId="0" fontId="25" fillId="0" borderId="1" xfId="0" applyFont="1" applyFill="1" applyBorder="1"/>
    <xf numFmtId="0" fontId="25" fillId="0" borderId="1" xfId="2" applyFont="1" applyFill="1" applyBorder="1" applyAlignment="1">
      <alignment wrapText="1"/>
    </xf>
    <xf numFmtId="1" fontId="25" fillId="0" borderId="1" xfId="2" applyNumberFormat="1" applyFont="1" applyFill="1" applyBorder="1" applyAlignment="1"/>
    <xf numFmtId="0" fontId="38" fillId="0" borderId="1" xfId="2" applyFont="1" applyFill="1" applyBorder="1" applyAlignment="1">
      <alignment horizontal="left"/>
    </xf>
    <xf numFmtId="2" fontId="39" fillId="0" borderId="1" xfId="4" applyNumberFormat="1" applyFont="1" applyFill="1" applyBorder="1" applyAlignment="1">
      <alignment horizontal="right"/>
    </xf>
    <xf numFmtId="0" fontId="25" fillId="0" borderId="1" xfId="2" applyFont="1" applyFill="1" applyBorder="1" applyAlignment="1">
      <alignment vertical="center" wrapText="1"/>
    </xf>
    <xf numFmtId="0" fontId="40" fillId="0" borderId="1" xfId="2" applyFont="1" applyFill="1" applyBorder="1" applyAlignment="1">
      <alignment horizontal="left" vertical="center" wrapText="1"/>
    </xf>
    <xf numFmtId="0" fontId="25" fillId="0" borderId="1" xfId="3" applyFont="1" applyFill="1" applyBorder="1" applyAlignment="1">
      <alignment wrapText="1"/>
    </xf>
    <xf numFmtId="0" fontId="25" fillId="0" borderId="1" xfId="0" applyFont="1" applyFill="1" applyBorder="1" applyAlignment="1">
      <alignment wrapText="1"/>
    </xf>
    <xf numFmtId="1" fontId="25" fillId="0" borderId="0" xfId="0" applyNumberFormat="1" applyFont="1" applyFill="1"/>
    <xf numFmtId="0" fontId="40" fillId="0" borderId="1" xfId="2" applyFont="1" applyFill="1" applyBorder="1" applyAlignment="1">
      <alignment horizontal="left"/>
    </xf>
    <xf numFmtId="2" fontId="40" fillId="0" borderId="1" xfId="0" applyNumberFormat="1" applyFont="1" applyFill="1" applyBorder="1"/>
    <xf numFmtId="164" fontId="25" fillId="0" borderId="0" xfId="0" applyNumberFormat="1" applyFont="1"/>
    <xf numFmtId="1" fontId="37" fillId="0" borderId="0" xfId="0" applyNumberFormat="1" applyFont="1"/>
    <xf numFmtId="1" fontId="42" fillId="0" borderId="0" xfId="0" applyNumberFormat="1" applyFont="1"/>
    <xf numFmtId="0" fontId="25" fillId="0" borderId="2" xfId="0" applyFont="1" applyBorder="1"/>
    <xf numFmtId="1" fontId="25" fillId="0" borderId="22" xfId="0" applyNumberFormat="1" applyFont="1" applyBorder="1"/>
    <xf numFmtId="1" fontId="25" fillId="0" borderId="23" xfId="0" applyNumberFormat="1" applyFont="1" applyBorder="1"/>
    <xf numFmtId="0" fontId="25" fillId="0" borderId="25" xfId="0" applyFont="1" applyBorder="1"/>
    <xf numFmtId="1" fontId="25" fillId="0" borderId="24" xfId="0" applyNumberFormat="1" applyFont="1" applyBorder="1"/>
    <xf numFmtId="0" fontId="25" fillId="0" borderId="17" xfId="0" applyFont="1" applyBorder="1"/>
    <xf numFmtId="1" fontId="25" fillId="0" borderId="26" xfId="0" applyNumberFormat="1" applyFont="1" applyBorder="1"/>
    <xf numFmtId="1" fontId="25" fillId="0" borderId="27" xfId="0" applyNumberFormat="1" applyFont="1" applyBorder="1"/>
    <xf numFmtId="0" fontId="25" fillId="0" borderId="21" xfId="2" applyFont="1" applyFill="1" applyBorder="1" applyAlignment="1">
      <alignment vertical="center" wrapText="1"/>
    </xf>
    <xf numFmtId="2" fontId="40" fillId="0" borderId="1" xfId="2" applyNumberFormat="1" applyFont="1" applyFill="1" applyBorder="1" applyAlignment="1">
      <alignment horizontal="right"/>
    </xf>
    <xf numFmtId="0" fontId="25" fillId="0" borderId="1" xfId="2" applyFont="1" applyFill="1" applyBorder="1" applyAlignment="1">
      <alignment horizontal="left" vertical="center" wrapText="1"/>
    </xf>
    <xf numFmtId="0" fontId="44" fillId="0" borderId="1" xfId="3" applyFont="1" applyFill="1" applyBorder="1" applyAlignment="1">
      <alignment horizontal="left"/>
    </xf>
    <xf numFmtId="2" fontId="43" fillId="0" borderId="1" xfId="3" applyNumberFormat="1" applyFont="1" applyFill="1" applyBorder="1" applyAlignment="1">
      <alignment horizontal="right"/>
    </xf>
    <xf numFmtId="0" fontId="40" fillId="0" borderId="1" xfId="2" applyFont="1" applyBorder="1" applyAlignment="1">
      <alignment horizontal="left"/>
    </xf>
    <xf numFmtId="2" fontId="40" fillId="0" borderId="1" xfId="0" applyNumberFormat="1" applyFont="1" applyBorder="1"/>
    <xf numFmtId="0" fontId="25" fillId="0" borderId="0" xfId="0" applyFont="1" applyAlignment="1">
      <alignment wrapText="1"/>
    </xf>
    <xf numFmtId="0" fontId="45" fillId="0" borderId="0" xfId="5" applyFont="1"/>
    <xf numFmtId="0" fontId="46" fillId="0" borderId="0" xfId="0" applyFont="1"/>
    <xf numFmtId="1" fontId="46" fillId="0" borderId="0" xfId="0" applyNumberFormat="1" applyFont="1"/>
    <xf numFmtId="0" fontId="41" fillId="0" borderId="0" xfId="0" applyFont="1" applyAlignment="1">
      <alignment wrapText="1"/>
    </xf>
    <xf numFmtId="1" fontId="37" fillId="0" borderId="18" xfId="0" applyNumberFormat="1" applyFont="1" applyBorder="1"/>
    <xf numFmtId="0" fontId="41" fillId="0" borderId="3" xfId="0" applyFont="1" applyBorder="1" applyAlignment="1">
      <alignment wrapText="1"/>
    </xf>
    <xf numFmtId="166" fontId="0" fillId="0" borderId="0" xfId="0" applyNumberFormat="1"/>
    <xf numFmtId="1" fontId="25" fillId="0" borderId="1" xfId="2" applyNumberFormat="1" applyFont="1" applyFill="1" applyBorder="1" applyAlignment="1">
      <alignment horizontal="right"/>
    </xf>
    <xf numFmtId="1" fontId="25" fillId="0" borderId="21" xfId="2" applyNumberFormat="1" applyFont="1" applyFill="1" applyBorder="1" applyAlignment="1">
      <alignment horizontal="right"/>
    </xf>
    <xf numFmtId="1" fontId="25" fillId="0" borderId="1" xfId="0" applyNumberFormat="1" applyFont="1" applyFill="1" applyBorder="1" applyAlignment="1">
      <alignment horizontal="right"/>
    </xf>
    <xf numFmtId="2" fontId="25" fillId="0" borderId="1" xfId="0" applyNumberFormat="1" applyFont="1" applyBorder="1" applyAlignment="1">
      <alignment vertical="center"/>
    </xf>
    <xf numFmtId="2" fontId="25" fillId="0" borderId="0" xfId="0" applyNumberFormat="1" applyFont="1"/>
    <xf numFmtId="0" fontId="0" fillId="0" borderId="0" xfId="0" applyBorder="1"/>
    <xf numFmtId="0" fontId="29" fillId="4" borderId="34" xfId="0" applyFont="1" applyFill="1" applyBorder="1" applyAlignment="1">
      <alignment horizontal="center" vertical="center" wrapText="1"/>
    </xf>
    <xf numFmtId="0" fontId="29" fillId="0" borderId="34" xfId="0" applyFont="1" applyBorder="1" applyAlignment="1">
      <alignment horizontal="center" vertical="center" wrapText="1"/>
    </xf>
    <xf numFmtId="1" fontId="29" fillId="0" borderId="34" xfId="0" applyNumberFormat="1" applyFont="1" applyBorder="1" applyAlignment="1">
      <alignment horizontal="center" vertical="center" wrapText="1"/>
    </xf>
    <xf numFmtId="0" fontId="32" fillId="0" borderId="34" xfId="0" applyFont="1" applyBorder="1" applyAlignment="1">
      <alignment horizontal="center" vertical="center" wrapText="1"/>
    </xf>
    <xf numFmtId="1" fontId="32" fillId="0" borderId="34" xfId="0" applyNumberFormat="1" applyFont="1" applyBorder="1" applyAlignment="1">
      <alignment horizontal="center" vertical="center" wrapText="1"/>
    </xf>
    <xf numFmtId="2" fontId="29" fillId="0" borderId="34" xfId="0" applyNumberFormat="1" applyFont="1" applyBorder="1" applyAlignment="1">
      <alignment horizontal="center" vertical="center" wrapText="1"/>
    </xf>
    <xf numFmtId="2" fontId="32" fillId="0" borderId="34" xfId="0" applyNumberFormat="1" applyFont="1" applyBorder="1" applyAlignment="1">
      <alignment horizontal="center" vertical="center" wrapText="1"/>
    </xf>
    <xf numFmtId="0" fontId="48" fillId="0" borderId="0" xfId="0" applyFont="1"/>
    <xf numFmtId="165" fontId="43" fillId="0" borderId="1" xfId="4" applyNumberFormat="1" applyFont="1" applyFill="1" applyBorder="1" applyAlignment="1">
      <alignment horizontal="right"/>
    </xf>
    <xf numFmtId="0" fontId="1" fillId="0" borderId="1" xfId="2" applyBorder="1" applyAlignment="1">
      <alignment horizontal="center" vertical="center"/>
    </xf>
    <xf numFmtId="0" fontId="1" fillId="2" borderId="1" xfId="2" applyFill="1" applyBorder="1" applyAlignment="1">
      <alignment horizontal="center"/>
    </xf>
    <xf numFmtId="0" fontId="1" fillId="3" borderId="0" xfId="2" applyFill="1" applyAlignment="1">
      <alignment horizontal="center"/>
    </xf>
    <xf numFmtId="0" fontId="21" fillId="0" borderId="25" xfId="3" applyFont="1" applyBorder="1" applyAlignment="1">
      <alignment horizontal="left" vertical="center" wrapText="1"/>
    </xf>
    <xf numFmtId="0" fontId="25" fillId="0" borderId="1" xfId="2" applyFont="1" applyFill="1" applyBorder="1" applyAlignment="1">
      <alignment horizontal="center" vertical="center" wrapText="1"/>
    </xf>
    <xf numFmtId="0" fontId="25" fillId="0" borderId="1" xfId="2" applyFont="1" applyFill="1" applyBorder="1" applyAlignment="1">
      <alignment horizontal="center"/>
    </xf>
    <xf numFmtId="0" fontId="25" fillId="0" borderId="0" xfId="2" applyFont="1" applyFill="1" applyAlignment="1">
      <alignment horizontal="center"/>
    </xf>
    <xf numFmtId="0" fontId="42" fillId="0" borderId="0" xfId="0" applyFont="1" applyAlignment="1">
      <alignment wrapText="1"/>
    </xf>
    <xf numFmtId="0" fontId="44" fillId="0" borderId="1" xfId="3" applyFont="1" applyFill="1" applyBorder="1" applyAlignment="1">
      <alignment horizontal="left" vertical="center" wrapText="1"/>
    </xf>
    <xf numFmtId="0" fontId="38" fillId="0" borderId="21" xfId="2" applyFont="1" applyFill="1" applyBorder="1" applyAlignment="1">
      <alignment horizontal="left" vertical="center"/>
    </xf>
    <xf numFmtId="0" fontId="38" fillId="0" borderId="29" xfId="2" applyFont="1" applyFill="1" applyBorder="1" applyAlignment="1">
      <alignment horizontal="left" vertical="center"/>
    </xf>
    <xf numFmtId="0" fontId="25" fillId="0" borderId="1" xfId="2" applyFont="1" applyFill="1" applyBorder="1" applyAlignment="1">
      <alignment horizontal="center" vertical="center"/>
    </xf>
    <xf numFmtId="0" fontId="32" fillId="0" borderId="35" xfId="0" applyFont="1" applyBorder="1" applyAlignment="1">
      <alignment horizontal="left" vertical="center" wrapText="1"/>
    </xf>
    <xf numFmtId="0" fontId="32" fillId="0" borderId="36" xfId="0" applyFont="1" applyBorder="1" applyAlignment="1">
      <alignment horizontal="left" vertical="center" wrapText="1"/>
    </xf>
    <xf numFmtId="0" fontId="32" fillId="0" borderId="37" xfId="0" applyFont="1" applyBorder="1" applyAlignment="1">
      <alignment horizontal="left" vertical="center" wrapText="1"/>
    </xf>
  </cellXfs>
  <cellStyles count="6">
    <cellStyle name="Гиперссылка" xfId="5" builtinId="8"/>
    <cellStyle name="Обычный" xfId="0" builtinId="0"/>
    <cellStyle name="Обычный 2" xfId="2" xr:uid="{A3C995F9-99D5-47E3-9BD9-DC3243955C27}"/>
    <cellStyle name="Обычный 3" xfId="1" xr:uid="{1592D974-8314-4A7E-8A88-E8D8B1CB7020}"/>
    <cellStyle name="Обычный_calculation" xfId="3" xr:uid="{0680954C-88C0-4590-B5D3-C204C1DD4F75}"/>
    <cellStyle name="Обычный_Лист2" xfId="4" xr:uid="{2EE00D40-5C06-4F83-8FC5-A1FFD8A57FF2}"/>
  </cellStyles>
  <dxfs count="0"/>
  <tableStyles count="0" defaultTableStyle="TableStyleMedium2" defaultPivotStyle="PivotStyleLight16"/>
  <colors>
    <mruColors>
      <color rgb="FFF1C217"/>
      <color rgb="FFF8E4F6"/>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strRef>
              <c:f>'Результат климатического проект'!$A$21</c:f>
              <c:strCache>
                <c:ptCount val="1"/>
                <c:pt idx="0">
                  <c:v>Нетто выбросы от проектной линии, т CO2-экв.</c:v>
                </c:pt>
              </c:strCache>
            </c:strRef>
          </c:tx>
          <c:spPr>
            <a:ln w="28575" cap="rnd">
              <a:solidFill>
                <a:schemeClr val="accent1"/>
              </a:solidFill>
              <a:round/>
            </a:ln>
            <a:effectLst/>
          </c:spPr>
          <c:marker>
            <c:symbol val="circle"/>
            <c:size val="5"/>
            <c:spPr>
              <a:solidFill>
                <a:schemeClr val="accent1"/>
              </a:solidFill>
              <a:ln w="9525">
                <a:solidFill>
                  <a:schemeClr val="accent1"/>
                </a:solidFill>
              </a:ln>
              <a:effectLst/>
            </c:spPr>
          </c:marker>
          <c:cat>
            <c:numRef>
              <c:f>'Результат климатического проект'!$B$14:$L$14</c:f>
              <c:numCache>
                <c:formatCode>General</c:formatCode>
                <c:ptCount val="11"/>
                <c:pt idx="0">
                  <c:v>2023</c:v>
                </c:pt>
                <c:pt idx="1">
                  <c:v>2024</c:v>
                </c:pt>
                <c:pt idx="2">
                  <c:v>2025</c:v>
                </c:pt>
                <c:pt idx="3">
                  <c:v>2026</c:v>
                </c:pt>
                <c:pt idx="4">
                  <c:v>2027</c:v>
                </c:pt>
                <c:pt idx="5">
                  <c:v>2028</c:v>
                </c:pt>
                <c:pt idx="6">
                  <c:v>2029</c:v>
                </c:pt>
                <c:pt idx="7">
                  <c:v>2030</c:v>
                </c:pt>
                <c:pt idx="8">
                  <c:v>2031</c:v>
                </c:pt>
                <c:pt idx="9">
                  <c:v>2032</c:v>
                </c:pt>
                <c:pt idx="10">
                  <c:v>2033</c:v>
                </c:pt>
              </c:numCache>
            </c:numRef>
          </c:cat>
          <c:val>
            <c:numRef>
              <c:f>'Результат климатического проект'!$B$21:$L$21</c:f>
              <c:numCache>
                <c:formatCode>0</c:formatCode>
                <c:ptCount val="11"/>
                <c:pt idx="0">
                  <c:v>-1179.8809507433491</c:v>
                </c:pt>
                <c:pt idx="1">
                  <c:v>-1179.8809507433491</c:v>
                </c:pt>
                <c:pt idx="2">
                  <c:v>-1179.8809507433491</c:v>
                </c:pt>
                <c:pt idx="3">
                  <c:v>-1179.8809507433491</c:v>
                </c:pt>
                <c:pt idx="4">
                  <c:v>-1179.8809507433491</c:v>
                </c:pt>
                <c:pt idx="5">
                  <c:v>-1179.8809507433491</c:v>
                </c:pt>
                <c:pt idx="6">
                  <c:v>-1179.8809507433491</c:v>
                </c:pt>
                <c:pt idx="7">
                  <c:v>-1179.8809507433491</c:v>
                </c:pt>
                <c:pt idx="8">
                  <c:v>-1179.8809507433491</c:v>
                </c:pt>
                <c:pt idx="9">
                  <c:v>-1179.8809507433491</c:v>
                </c:pt>
                <c:pt idx="10">
                  <c:v>-1179.8809507433491</c:v>
                </c:pt>
              </c:numCache>
            </c:numRef>
          </c:val>
          <c:smooth val="0"/>
          <c:extLst xmlns:unk6="http://schemas.microsoft.com/office/drawing/2017/03/chart" xmlns:unk5="http://schemas.microsoft.com/office/drawing/2014/chart" xmlns:vyd="http://volga.yandex.com/schemas/document/model" xmlns:mc="http://schemas.openxmlformats.org/markup-compatibility/2006">
            <c:ext xmlns:c16="http://schemas.microsoft.com/office/drawing/2014/chart" uri="{C3380CC4-5D6E-409C-BE32-E72D297353CC}">
              <c16:uniqueId val="{00000000-E9DB-4E25-A509-AD8437A02765}"/>
            </c:ext>
          </c:extLst>
        </c:ser>
        <c:ser>
          <c:idx val="1"/>
          <c:order val="1"/>
          <c:tx>
            <c:strRef>
              <c:f>'Результат климатического проект'!$A$15</c:f>
              <c:strCache>
                <c:ptCount val="1"/>
                <c:pt idx="0">
                  <c:v>Нетто выбросы от базовой линии (Захоронение щепы в полигоне), т CO2-экв.</c:v>
                </c:pt>
              </c:strCache>
            </c:strRef>
          </c:tx>
          <c:spPr>
            <a:ln w="28575" cap="rnd">
              <a:solidFill>
                <a:schemeClr val="accent2"/>
              </a:solidFill>
              <a:round/>
            </a:ln>
            <a:effectLst/>
          </c:spPr>
          <c:marker>
            <c:symbol val="circle"/>
            <c:size val="5"/>
            <c:spPr>
              <a:solidFill>
                <a:schemeClr val="accent2"/>
              </a:solidFill>
              <a:ln w="9525">
                <a:solidFill>
                  <a:schemeClr val="accent2"/>
                </a:solidFill>
              </a:ln>
              <a:effectLst/>
            </c:spPr>
          </c:marker>
          <c:cat>
            <c:numRef>
              <c:f>'Результат климатического проект'!$B$14:$L$14</c:f>
              <c:numCache>
                <c:formatCode>General</c:formatCode>
                <c:ptCount val="11"/>
                <c:pt idx="0">
                  <c:v>2023</c:v>
                </c:pt>
                <c:pt idx="1">
                  <c:v>2024</c:v>
                </c:pt>
                <c:pt idx="2">
                  <c:v>2025</c:v>
                </c:pt>
                <c:pt idx="3">
                  <c:v>2026</c:v>
                </c:pt>
                <c:pt idx="4">
                  <c:v>2027</c:v>
                </c:pt>
                <c:pt idx="5">
                  <c:v>2028</c:v>
                </c:pt>
                <c:pt idx="6">
                  <c:v>2029</c:v>
                </c:pt>
                <c:pt idx="7">
                  <c:v>2030</c:v>
                </c:pt>
                <c:pt idx="8">
                  <c:v>2031</c:v>
                </c:pt>
                <c:pt idx="9">
                  <c:v>2032</c:v>
                </c:pt>
                <c:pt idx="10">
                  <c:v>2033</c:v>
                </c:pt>
              </c:numCache>
            </c:numRef>
          </c:cat>
          <c:val>
            <c:numRef>
              <c:f>'Результат климатического проект'!$B$15:$L$15</c:f>
              <c:numCache>
                <c:formatCode>0</c:formatCode>
                <c:ptCount val="11"/>
                <c:pt idx="0">
                  <c:v>1026.3828812495117</c:v>
                </c:pt>
                <c:pt idx="1">
                  <c:v>1198.9530286194993</c:v>
                </c:pt>
                <c:pt idx="2">
                  <c:v>1366.4229573585117</c:v>
                </c:pt>
                <c:pt idx="3">
                  <c:v>1528.943401706973</c:v>
                </c:pt>
                <c:pt idx="4">
                  <c:v>1686.6606410352565</c:v>
                </c:pt>
                <c:pt idx="5">
                  <c:v>1839.7166315049899</c:v>
                </c:pt>
                <c:pt idx="6">
                  <c:v>2017.0274198445945</c:v>
                </c:pt>
                <c:pt idx="7">
                  <c:v>2189.0978824387289</c:v>
                </c:pt>
                <c:pt idx="8">
                  <c:v>2356.0828943188317</c:v>
                </c:pt>
                <c:pt idx="9">
                  <c:v>2489.3544672620137</c:v>
                </c:pt>
                <c:pt idx="10">
                  <c:v>2618.6872699737096</c:v>
                </c:pt>
              </c:numCache>
            </c:numRef>
          </c:val>
          <c:smooth val="0"/>
          <c:extLst xmlns:unk6="http://schemas.microsoft.com/office/drawing/2017/03/chart" xmlns:unk5="http://schemas.microsoft.com/office/drawing/2014/chart" xmlns:vyd="http://volga.yandex.com/schemas/document/model" xmlns:mc="http://schemas.openxmlformats.org/markup-compatibility/2006">
            <c:ext xmlns:c16="http://schemas.microsoft.com/office/drawing/2014/chart" uri="{C3380CC4-5D6E-409C-BE32-E72D297353CC}">
              <c16:uniqueId val="{00000002-E9DB-4E25-A509-AD8437A02765}"/>
            </c:ext>
          </c:extLst>
        </c:ser>
        <c:ser>
          <c:idx val="2"/>
          <c:order val="2"/>
          <c:tx>
            <c:strRef>
              <c:f>'Результат климатического проект'!$A$16</c:f>
              <c:strCache>
                <c:ptCount val="1"/>
                <c:pt idx="0">
                  <c:v>Нетто выбросы от базовой линии (Мульчирование и сжигание), т CO2-экв.</c:v>
                </c:pt>
              </c:strCache>
            </c:strRef>
          </c:tx>
          <c:spPr>
            <a:ln w="28575" cap="rnd">
              <a:solidFill>
                <a:schemeClr val="accent3"/>
              </a:solidFill>
              <a:round/>
            </a:ln>
            <a:effectLst/>
          </c:spPr>
          <c:marker>
            <c:symbol val="circle"/>
            <c:size val="5"/>
            <c:spPr>
              <a:solidFill>
                <a:schemeClr val="accent3"/>
              </a:solidFill>
              <a:ln w="9525">
                <a:solidFill>
                  <a:schemeClr val="accent3"/>
                </a:solidFill>
              </a:ln>
              <a:effectLst/>
            </c:spPr>
          </c:marker>
          <c:cat>
            <c:numRef>
              <c:f>'Результат климатического проект'!$B$14:$L$14</c:f>
              <c:numCache>
                <c:formatCode>General</c:formatCode>
                <c:ptCount val="11"/>
                <c:pt idx="0">
                  <c:v>2023</c:v>
                </c:pt>
                <c:pt idx="1">
                  <c:v>2024</c:v>
                </c:pt>
                <c:pt idx="2">
                  <c:v>2025</c:v>
                </c:pt>
                <c:pt idx="3">
                  <c:v>2026</c:v>
                </c:pt>
                <c:pt idx="4">
                  <c:v>2027</c:v>
                </c:pt>
                <c:pt idx="5">
                  <c:v>2028</c:v>
                </c:pt>
                <c:pt idx="6">
                  <c:v>2029</c:v>
                </c:pt>
                <c:pt idx="7">
                  <c:v>2030</c:v>
                </c:pt>
                <c:pt idx="8">
                  <c:v>2031</c:v>
                </c:pt>
                <c:pt idx="9">
                  <c:v>2032</c:v>
                </c:pt>
                <c:pt idx="10">
                  <c:v>2033</c:v>
                </c:pt>
              </c:numCache>
            </c:numRef>
          </c:cat>
          <c:val>
            <c:numRef>
              <c:f>'Результат климатического проект'!$B$16:$L$16</c:f>
              <c:numCache>
                <c:formatCode>0</c:formatCode>
                <c:ptCount val="11"/>
                <c:pt idx="0">
                  <c:v>5128.263603378422</c:v>
                </c:pt>
                <c:pt idx="1">
                  <c:v>4347.4564452606919</c:v>
                </c:pt>
                <c:pt idx="2">
                  <c:v>4298.3752919662347</c:v>
                </c:pt>
                <c:pt idx="3">
                  <c:v>4250.7512230049542</c:v>
                </c:pt>
                <c:pt idx="4">
                  <c:v>4204.5409815539879</c:v>
                </c:pt>
                <c:pt idx="5">
                  <c:v>4159.7025949664694</c:v>
                </c:pt>
                <c:pt idx="6">
                  <c:v>4116.1953366478738</c:v>
                </c:pt>
                <c:pt idx="7">
                  <c:v>4073.9796890641633</c:v>
                </c:pt>
                <c:pt idx="8">
                  <c:v>4033.0173078480943</c:v>
                </c:pt>
                <c:pt idx="9">
                  <c:v>3993.2709869711443</c:v>
                </c:pt>
                <c:pt idx="10">
                  <c:v>3954.7046249493565</c:v>
                </c:pt>
              </c:numCache>
            </c:numRef>
          </c:val>
          <c:smooth val="0"/>
          <c:extLst xmlns:unk6="http://schemas.microsoft.com/office/drawing/2017/03/chart" xmlns:unk5="http://schemas.microsoft.com/office/drawing/2014/chart" xmlns:vyd="http://volga.yandex.com/schemas/document/model" xmlns:mc="http://schemas.openxmlformats.org/markup-compatibility/2006">
            <c:ext xmlns:c16="http://schemas.microsoft.com/office/drawing/2014/chart" uri="{C3380CC4-5D6E-409C-BE32-E72D297353CC}">
              <c16:uniqueId val="{00000003-E9DB-4E25-A509-AD8437A02765}"/>
            </c:ext>
          </c:extLst>
        </c:ser>
        <c:dLbls>
          <c:showLegendKey val="0"/>
          <c:showVal val="0"/>
          <c:showCatName val="0"/>
          <c:showSerName val="0"/>
          <c:showPercent val="0"/>
          <c:showBubbleSize val="0"/>
        </c:dLbls>
        <c:marker val="1"/>
        <c:smooth val="0"/>
        <c:axId val="1155312015"/>
        <c:axId val="1155313455"/>
      </c:lineChart>
      <c:valAx>
        <c:axId val="115531345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ru-RU"/>
                  <a:t>т </a:t>
                </a:r>
                <a:r>
                  <a:rPr lang="en-US"/>
                  <a:t>CO</a:t>
                </a:r>
                <a:r>
                  <a:rPr lang="en-US" baseline="-25000"/>
                  <a:t>2</a:t>
                </a:r>
                <a:r>
                  <a:rPr lang="ru-RU"/>
                  <a:t>-экв.</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ru-RU"/>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u-RU"/>
          </a:p>
        </c:txPr>
        <c:crossAx val="1155312015"/>
        <c:crosses val="autoZero"/>
        <c:crossBetween val="between"/>
      </c:valAx>
      <c:catAx>
        <c:axId val="1155312015"/>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u-RU"/>
          </a:p>
        </c:txPr>
        <c:crossAx val="1155313455"/>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lIns="0" tIns="0" rIns="0" bIns="0" anchor="ctr" anchorCtr="1"/>
        <a:lstStyle/>
        <a:p>
          <a:pPr>
            <a:defRPr sz="900" b="0" i="0" u="none" strike="noStrike" kern="1200" baseline="0">
              <a:solidFill>
                <a:schemeClr val="tx1">
                  <a:lumMod val="65000"/>
                  <a:lumOff val="35000"/>
                </a:schemeClr>
              </a:solidFill>
              <a:latin typeface="+mn-lt"/>
              <a:ea typeface="+mn-ea"/>
              <a:cs typeface="+mn-cs"/>
            </a:defRPr>
          </a:pPr>
          <a:endParaRPr lang="ru-RU"/>
        </a:p>
      </c:txPr>
    </c:legend>
    <c:plotVisOnly val="1"/>
    <c:dispBlanksAs val="gap"/>
    <c:extLst xmlns:unk6="http://schemas.microsoft.com/office/drawing/2017/03/chart" xmlns:unk5="http://schemas.microsoft.com/office/drawing/2014/chart" xmlns:vyd="http://volga.yandex.com/schemas/document/model" xmlns:mc="http://schemas.openxmlformats.org/markup-compatibility/2006">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lIns="0" tIns="0" rIns="0" bIns="0"/>
    <a:lstStyle/>
    <a:p>
      <a:pPr>
        <a:defRPr/>
      </a:pPr>
      <a:endParaRPr lang="ru-RU"/>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lIns="0" tIns="0" rIns="0" bIns="0" anchor="ctr" anchorCtr="1"/>
          <a:lstStyle/>
          <a:p>
            <a:pPr>
              <a:defRPr sz="1400" b="0" i="0" u="none" strike="noStrike" kern="1200" spc="0" baseline="0">
                <a:solidFill>
                  <a:schemeClr val="tx1">
                    <a:lumMod val="65000"/>
                    <a:lumOff val="35000"/>
                  </a:schemeClr>
                </a:solidFill>
                <a:latin typeface="+mn-lt"/>
                <a:ea typeface="+mn-ea"/>
                <a:cs typeface="+mn-cs"/>
              </a:defRPr>
            </a:pPr>
            <a:r>
              <a:rPr lang="ru-RU"/>
              <a:t>Результат климатического проекта</a:t>
            </a:r>
          </a:p>
        </c:rich>
      </c:tx>
      <c:overlay val="0"/>
      <c:spPr>
        <a:noFill/>
        <a:ln>
          <a:noFill/>
        </a:ln>
        <a:effectLst/>
      </c:spPr>
      <c:txPr>
        <a:bodyPr rot="0" spcFirstLastPara="1" vertOverflow="ellipsis" vert="horz" wrap="square" lIns="0" tIns="0" rIns="0" bIns="0" anchor="ctr" anchorCtr="1"/>
        <a:lstStyle/>
        <a:p>
          <a:pPr>
            <a:defRPr sz="1400" b="0" i="0" u="none" strike="noStrike" kern="1200" spc="0" baseline="0">
              <a:solidFill>
                <a:schemeClr val="tx1">
                  <a:lumMod val="65000"/>
                  <a:lumOff val="35000"/>
                </a:schemeClr>
              </a:solidFill>
              <a:latin typeface="+mn-lt"/>
              <a:ea typeface="+mn-ea"/>
              <a:cs typeface="+mn-cs"/>
            </a:defRPr>
          </a:pPr>
          <a:endParaRPr lang="ru-RU"/>
        </a:p>
      </c:txPr>
    </c:title>
    <c:autoTitleDeleted val="0"/>
    <c:plotArea>
      <c:layout/>
      <c:barChart>
        <c:barDir val="col"/>
        <c:grouping val="clustered"/>
        <c:varyColors val="0"/>
        <c:ser>
          <c:idx val="0"/>
          <c:order val="0"/>
          <c:tx>
            <c:strRef>
              <c:f>'Результат климатического проект'!$A$26</c:f>
              <c:strCache>
                <c:ptCount val="1"/>
                <c:pt idx="0">
                  <c:v>Вариант 1 (вывоз щепы в полигоны)</c:v>
                </c:pt>
              </c:strCache>
            </c:strRef>
          </c:tx>
          <c:spPr>
            <a:solidFill>
              <a:schemeClr val="accent1"/>
            </a:solidFill>
            <a:ln>
              <a:noFill/>
            </a:ln>
            <a:effectLst/>
          </c:spPr>
          <c:invertIfNegative val="0"/>
          <c:cat>
            <c:numRef>
              <c:f>'Результат климатического проект'!$B$25:$L$25</c:f>
              <c:numCache>
                <c:formatCode>General</c:formatCode>
                <c:ptCount val="11"/>
                <c:pt idx="0">
                  <c:v>2023</c:v>
                </c:pt>
                <c:pt idx="1">
                  <c:v>2024</c:v>
                </c:pt>
                <c:pt idx="2">
                  <c:v>2025</c:v>
                </c:pt>
                <c:pt idx="3">
                  <c:v>2026</c:v>
                </c:pt>
                <c:pt idx="4">
                  <c:v>2027</c:v>
                </c:pt>
                <c:pt idx="5">
                  <c:v>2028</c:v>
                </c:pt>
                <c:pt idx="6">
                  <c:v>2029</c:v>
                </c:pt>
                <c:pt idx="7">
                  <c:v>2030</c:v>
                </c:pt>
                <c:pt idx="8">
                  <c:v>2031</c:v>
                </c:pt>
                <c:pt idx="9">
                  <c:v>2032</c:v>
                </c:pt>
                <c:pt idx="10">
                  <c:v>2033</c:v>
                </c:pt>
              </c:numCache>
            </c:numRef>
          </c:cat>
          <c:val>
            <c:numRef>
              <c:f>'Результат климатического проект'!$B$26:$L$26</c:f>
              <c:numCache>
                <c:formatCode>0</c:formatCode>
                <c:ptCount val="11"/>
                <c:pt idx="0">
                  <c:v>-2206.263831992861</c:v>
                </c:pt>
                <c:pt idx="1">
                  <c:v>-2378.8339793628484</c:v>
                </c:pt>
                <c:pt idx="2">
                  <c:v>-2546.3039081018605</c:v>
                </c:pt>
                <c:pt idx="3">
                  <c:v>-2708.8243524503223</c:v>
                </c:pt>
                <c:pt idx="4">
                  <c:v>-2866.5415917786058</c:v>
                </c:pt>
                <c:pt idx="5">
                  <c:v>-3019.5975822483388</c:v>
                </c:pt>
                <c:pt idx="6">
                  <c:v>-3196.9083705879439</c:v>
                </c:pt>
                <c:pt idx="7">
                  <c:v>-3368.9788331820782</c:v>
                </c:pt>
                <c:pt idx="8">
                  <c:v>-3535.9638450621806</c:v>
                </c:pt>
                <c:pt idx="9">
                  <c:v>-3669.2354180053626</c:v>
                </c:pt>
                <c:pt idx="10">
                  <c:v>-3798.5682207170585</c:v>
                </c:pt>
              </c:numCache>
            </c:numRef>
          </c:val>
          <c:extLst xmlns:unk6="http://schemas.microsoft.com/office/drawing/2017/03/chart" xmlns:unk5="http://schemas.microsoft.com/office/drawing/2014/chart" xmlns:vyd="http://volga.yandex.com/schemas/document/model" xmlns:mc="http://schemas.openxmlformats.org/markup-compatibility/2006">
            <c:ext xmlns:c16="http://schemas.microsoft.com/office/drawing/2014/chart" uri="{C3380CC4-5D6E-409C-BE32-E72D297353CC}">
              <c16:uniqueId val="{00000000-DC59-4AC1-99A3-015D886156A2}"/>
            </c:ext>
          </c:extLst>
        </c:ser>
        <c:ser>
          <c:idx val="1"/>
          <c:order val="1"/>
          <c:tx>
            <c:strRef>
              <c:f>'Результат климатического проект'!$A$27</c:f>
              <c:strCache>
                <c:ptCount val="1"/>
                <c:pt idx="0">
                  <c:v>Вариант 2 (мульчирование и сжигание на месте)</c:v>
                </c:pt>
              </c:strCache>
            </c:strRef>
          </c:tx>
          <c:spPr>
            <a:solidFill>
              <a:schemeClr val="accent2"/>
            </a:solidFill>
            <a:ln>
              <a:noFill/>
            </a:ln>
            <a:effectLst/>
          </c:spPr>
          <c:invertIfNegative val="0"/>
          <c:cat>
            <c:numRef>
              <c:f>'Результат климатического проект'!$B$25:$L$25</c:f>
              <c:numCache>
                <c:formatCode>General</c:formatCode>
                <c:ptCount val="11"/>
                <c:pt idx="0">
                  <c:v>2023</c:v>
                </c:pt>
                <c:pt idx="1">
                  <c:v>2024</c:v>
                </c:pt>
                <c:pt idx="2">
                  <c:v>2025</c:v>
                </c:pt>
                <c:pt idx="3">
                  <c:v>2026</c:v>
                </c:pt>
                <c:pt idx="4">
                  <c:v>2027</c:v>
                </c:pt>
                <c:pt idx="5">
                  <c:v>2028</c:v>
                </c:pt>
                <c:pt idx="6">
                  <c:v>2029</c:v>
                </c:pt>
                <c:pt idx="7">
                  <c:v>2030</c:v>
                </c:pt>
                <c:pt idx="8">
                  <c:v>2031</c:v>
                </c:pt>
                <c:pt idx="9">
                  <c:v>2032</c:v>
                </c:pt>
                <c:pt idx="10">
                  <c:v>2033</c:v>
                </c:pt>
              </c:numCache>
            </c:numRef>
          </c:cat>
          <c:val>
            <c:numRef>
              <c:f>'Результат климатического проект'!$B$27:$L$27</c:f>
              <c:numCache>
                <c:formatCode>0</c:formatCode>
                <c:ptCount val="11"/>
                <c:pt idx="0">
                  <c:v>-6308.1445541217709</c:v>
                </c:pt>
                <c:pt idx="1">
                  <c:v>-5527.3373960040408</c:v>
                </c:pt>
                <c:pt idx="2">
                  <c:v>-5478.2562427095836</c:v>
                </c:pt>
                <c:pt idx="3">
                  <c:v>-5430.6321737483031</c:v>
                </c:pt>
                <c:pt idx="4">
                  <c:v>-5384.4219322973368</c:v>
                </c:pt>
                <c:pt idx="5">
                  <c:v>-5339.5835457098183</c:v>
                </c:pt>
                <c:pt idx="6">
                  <c:v>-5296.0762873912226</c:v>
                </c:pt>
                <c:pt idx="7">
                  <c:v>-5253.8606398075126</c:v>
                </c:pt>
                <c:pt idx="8">
                  <c:v>-5212.8982585914437</c:v>
                </c:pt>
                <c:pt idx="9">
                  <c:v>-5173.1519377144932</c:v>
                </c:pt>
                <c:pt idx="10">
                  <c:v>-5134.5855756927058</c:v>
                </c:pt>
              </c:numCache>
            </c:numRef>
          </c:val>
          <c:extLst xmlns:unk6="http://schemas.microsoft.com/office/drawing/2017/03/chart" xmlns:unk5="http://schemas.microsoft.com/office/drawing/2014/chart" xmlns:vyd="http://volga.yandex.com/schemas/document/model" xmlns:mc="http://schemas.openxmlformats.org/markup-compatibility/2006">
            <c:ext xmlns:c16="http://schemas.microsoft.com/office/drawing/2014/chart" uri="{C3380CC4-5D6E-409C-BE32-E72D297353CC}">
              <c16:uniqueId val="{00000001-DC59-4AC1-99A3-015D886156A2}"/>
            </c:ext>
          </c:extLst>
        </c:ser>
        <c:dLbls>
          <c:showLegendKey val="0"/>
          <c:showVal val="0"/>
          <c:showCatName val="0"/>
          <c:showSerName val="0"/>
          <c:showPercent val="0"/>
          <c:showBubbleSize val="0"/>
        </c:dLbls>
        <c:gapWidth val="219"/>
        <c:overlap val="-27"/>
        <c:axId val="174694016"/>
        <c:axId val="174701216"/>
      </c:barChart>
      <c:valAx>
        <c:axId val="174701216"/>
        <c:scaling>
          <c:orientation val="maxMin"/>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ru-RU"/>
                  <a:t>т </a:t>
                </a:r>
                <a:r>
                  <a:rPr lang="en-US"/>
                  <a:t>CO</a:t>
                </a:r>
                <a:r>
                  <a:rPr lang="en-US" baseline="-25000"/>
                  <a:t>2</a:t>
                </a:r>
                <a:r>
                  <a:rPr lang="en-US"/>
                  <a:t>-</a:t>
                </a:r>
                <a:r>
                  <a:rPr lang="ru-RU"/>
                  <a:t>экв.</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ru-RU"/>
            </a:p>
          </c:txPr>
        </c:title>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u-RU"/>
          </a:p>
        </c:txPr>
        <c:crossAx val="174694016"/>
        <c:crosses val="autoZero"/>
        <c:crossBetween val="between"/>
      </c:valAx>
      <c:catAx>
        <c:axId val="174694016"/>
        <c:scaling>
          <c:orientation val="minMax"/>
        </c:scaling>
        <c:delete val="0"/>
        <c:axPos val="t"/>
        <c:numFmt formatCode="General" sourceLinked="1"/>
        <c:majorTickMark val="none"/>
        <c:minorTickMark val="none"/>
        <c:tickLblPos val="high"/>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ru-RU"/>
          </a:p>
        </c:txPr>
        <c:crossAx val="174701216"/>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lIns="0" tIns="0" rIns="0" bIns="0" anchor="ctr" anchorCtr="1"/>
        <a:lstStyle/>
        <a:p>
          <a:pPr>
            <a:defRPr sz="900" b="0" i="0" u="none" strike="noStrike" kern="1200" baseline="0">
              <a:solidFill>
                <a:schemeClr val="tx1">
                  <a:lumMod val="65000"/>
                  <a:lumOff val="35000"/>
                </a:schemeClr>
              </a:solidFill>
              <a:latin typeface="+mn-lt"/>
              <a:ea typeface="+mn-ea"/>
              <a:cs typeface="+mn-cs"/>
            </a:defRPr>
          </a:pPr>
          <a:endParaRPr lang="ru-RU"/>
        </a:p>
      </c:txPr>
    </c:legend>
    <c:plotVisOnly val="1"/>
    <c:dispBlanksAs val="gap"/>
    <c:extLst xmlns:unk6="http://schemas.microsoft.com/office/drawing/2017/03/chart" xmlns:unk5="http://schemas.microsoft.com/office/drawing/2014/chart" xmlns:vyd="http://volga.yandex.com/schemas/document/model" xmlns:mc="http://schemas.openxmlformats.org/markup-compatibility/2006">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lIns="0" tIns="0" rIns="0" bIns="0"/>
    <a:lstStyle/>
    <a:p>
      <a:pPr>
        <a:defRPr/>
      </a:pPr>
      <a:endParaRPr lang="ru-RU"/>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lIns="0" tIns="0" rIns="0" bIns="0" anchor="ctr" anchorCtr="1"/>
          <a:lstStyle/>
          <a:p>
            <a:pPr>
              <a:defRPr sz="14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ru-RU"/>
              <a:t>Суммарное накопление углерода в пуле </a:t>
            </a:r>
            <a:r>
              <a:rPr lang="ru-RU" sz="1400" b="0" i="0" u="none" strike="noStrike" baseline="0">
                <a:effectLst/>
              </a:rPr>
              <a:t>древесной</a:t>
            </a:r>
            <a:r>
              <a:rPr lang="ru-RU"/>
              <a:t> щепы, т СО</a:t>
            </a:r>
            <a:r>
              <a:rPr lang="ru-RU" baseline="-25000"/>
              <a:t>2</a:t>
            </a:r>
            <a:r>
              <a:rPr lang="ru-RU"/>
              <a:t>/год</a:t>
            </a:r>
          </a:p>
        </c:rich>
      </c:tx>
      <c:overlay val="0"/>
      <c:spPr>
        <a:noFill/>
        <a:ln>
          <a:noFill/>
        </a:ln>
        <a:effectLst/>
      </c:spPr>
      <c:txPr>
        <a:bodyPr rot="0" spcFirstLastPara="1" vertOverflow="ellipsis" vert="horz" wrap="square" lIns="0" tIns="0" rIns="0" bIns="0" anchor="ctr" anchorCtr="1"/>
        <a:lstStyle/>
        <a:p>
          <a:pPr>
            <a:defRPr sz="14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ru-RU"/>
        </a:p>
      </c:txPr>
    </c:title>
    <c:autoTitleDeleted val="0"/>
    <c:plotArea>
      <c:layout/>
      <c:lineChart>
        <c:grouping val="standard"/>
        <c:varyColors val="0"/>
        <c:ser>
          <c:idx val="0"/>
          <c:order val="0"/>
          <c:tx>
            <c:strRef>
              <c:f>'BE_chippedwood,y'!$B$6</c:f>
              <c:strCache>
                <c:ptCount val="1"/>
                <c:pt idx="0">
                  <c:v>Хранение углерода в пуле щепы древесной (суммарно), т СО2-экв./год</c:v>
                </c:pt>
              </c:strCache>
            </c:strRef>
          </c:tx>
          <c:spPr>
            <a:ln w="28575" cap="rnd">
              <a:solidFill>
                <a:schemeClr val="accent1"/>
              </a:solidFill>
              <a:round/>
            </a:ln>
            <a:effectLst/>
          </c:spPr>
          <c:marker>
            <c:symbol val="none"/>
          </c:marker>
          <c:cat>
            <c:numRef>
              <c:f>'BE_chippedwood,y'!$C$2:$Q$2</c:f>
              <c:numCache>
                <c:formatCode>General</c:formatCode>
                <c:ptCount val="15"/>
                <c:pt idx="0">
                  <c:v>2024</c:v>
                </c:pt>
                <c:pt idx="1">
                  <c:v>2025</c:v>
                </c:pt>
                <c:pt idx="2">
                  <c:v>2026</c:v>
                </c:pt>
                <c:pt idx="3">
                  <c:v>2027</c:v>
                </c:pt>
                <c:pt idx="4">
                  <c:v>2028</c:v>
                </c:pt>
                <c:pt idx="5">
                  <c:v>2029</c:v>
                </c:pt>
                <c:pt idx="6">
                  <c:v>2030</c:v>
                </c:pt>
                <c:pt idx="7">
                  <c:v>2031</c:v>
                </c:pt>
                <c:pt idx="8">
                  <c:v>2032</c:v>
                </c:pt>
                <c:pt idx="9">
                  <c:v>2033</c:v>
                </c:pt>
                <c:pt idx="10">
                  <c:v>2034</c:v>
                </c:pt>
                <c:pt idx="11">
                  <c:v>2035</c:v>
                </c:pt>
                <c:pt idx="12">
                  <c:v>2036</c:v>
                </c:pt>
                <c:pt idx="13">
                  <c:v>2037</c:v>
                </c:pt>
                <c:pt idx="14">
                  <c:v>2038</c:v>
                </c:pt>
              </c:numCache>
            </c:numRef>
          </c:cat>
          <c:val>
            <c:numRef>
              <c:f>'BE_chippedwood,y'!$C$6:$Q$6</c:f>
              <c:numCache>
                <c:formatCode>0</c:formatCode>
                <c:ptCount val="15"/>
                <c:pt idx="0">
                  <c:v>-2227.2174665487282</c:v>
                </c:pt>
                <c:pt idx="1">
                  <c:v>-4068.067317267813</c:v>
                </c:pt>
                <c:pt idx="2">
                  <c:v>-5989.2155405587246</c:v>
                </c:pt>
                <c:pt idx="3">
                  <c:v>-7514.0318958781399</c:v>
                </c:pt>
                <c:pt idx="4">
                  <c:v>-8724.2794391243169</c:v>
                </c:pt>
                <c:pt idx="5">
                  <c:v>-9684.8535507697725</c:v>
                </c:pt>
                <c:pt idx="6">
                  <c:v>-10447.261728429481</c:v>
                </c:pt>
                <c:pt idx="7">
                  <c:v>-11052.385500052573</c:v>
                </c:pt>
                <c:pt idx="8">
                  <c:v>-11532.672555875301</c:v>
                </c:pt>
                <c:pt idx="9">
                  <c:v>-11913.876644705155</c:v>
                </c:pt>
                <c:pt idx="10">
                  <c:v>-12216.4385305167</c:v>
                </c:pt>
                <c:pt idx="11">
                  <c:v>-12456.582058428061</c:v>
                </c:pt>
                <c:pt idx="12">
                  <c:v>-12647.18410284299</c:v>
                </c:pt>
                <c:pt idx="13">
                  <c:v>-12798.465045748761</c:v>
                </c:pt>
                <c:pt idx="14">
                  <c:v>-12918.536809704443</c:v>
                </c:pt>
              </c:numCache>
            </c:numRef>
          </c:val>
          <c:smooth val="0"/>
          <c:extLst xmlns:unk6="http://schemas.microsoft.com/office/drawing/2017/03/chart" xmlns:unk5="http://schemas.microsoft.com/office/drawing/2014/chart" xmlns:vyd="http://volga.yandex.com/schemas/document/model" xmlns:mc="http://schemas.openxmlformats.org/markup-compatibility/2006">
            <c:ext xmlns:c16="http://schemas.microsoft.com/office/drawing/2014/chart" uri="{C3380CC4-5D6E-409C-BE32-E72D297353CC}">
              <c16:uniqueId val="{00000000-B694-494F-AAE0-A11E8D78E9A8}"/>
            </c:ext>
          </c:extLst>
        </c:ser>
        <c:dLbls>
          <c:showLegendKey val="0"/>
          <c:showVal val="0"/>
          <c:showCatName val="0"/>
          <c:showSerName val="0"/>
          <c:showPercent val="0"/>
          <c:showBubbleSize val="0"/>
        </c:dLbls>
        <c:smooth val="0"/>
        <c:axId val="567699727"/>
        <c:axId val="507521423"/>
      </c:lineChart>
      <c:valAx>
        <c:axId val="50752142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ru-RU"/>
          </a:p>
        </c:txPr>
        <c:crossAx val="567699727"/>
        <c:crosses val="autoZero"/>
        <c:crossBetween val="midCat"/>
      </c:valAx>
      <c:catAx>
        <c:axId val="56769972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ru-RU"/>
                  <a:t>годы проекта</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ru-RU"/>
            </a:p>
          </c:txPr>
        </c:title>
        <c:numFmt formatCode="General" sourceLinked="1"/>
        <c:majorTickMark val="none"/>
        <c:minorTickMark val="none"/>
        <c:tickLblPos val="high"/>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ru-RU"/>
          </a:p>
        </c:txPr>
        <c:crossAx val="507521423"/>
        <c:crosses val="autoZero"/>
        <c:auto val="1"/>
        <c:lblAlgn val="ctr"/>
        <c:lblOffset val="100"/>
        <c:noMultiLvlLbl val="0"/>
      </c:catAx>
      <c:spPr>
        <a:noFill/>
        <a:ln>
          <a:noFill/>
        </a:ln>
        <a:effectLst/>
      </c:spPr>
    </c:plotArea>
    <c:plotVisOnly val="1"/>
    <c:dispBlanksAs val="gap"/>
    <c:extLst xmlns:unk6="http://schemas.microsoft.com/office/drawing/2017/03/chart" xmlns:unk5="http://schemas.microsoft.com/office/drawing/2014/chart" xmlns:vyd="http://volga.yandex.com/schemas/document/model" xmlns:mc="http://schemas.openxmlformats.org/markup-compatibility/2006">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lIns="0" tIns="0" rIns="0" bIns="0"/>
    <a:lstStyle/>
    <a:p>
      <a:pPr>
        <a:defRPr>
          <a:latin typeface="Times New Roman" panose="02020603050405020304" pitchFamily="18" charset="0"/>
          <a:cs typeface="Times New Roman" panose="02020603050405020304" pitchFamily="18" charset="0"/>
        </a:defRPr>
      </a:pPr>
      <a:endParaRPr lang="ru-RU"/>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lIns="0" tIns="0" rIns="0" bIns="0" anchor="ctr" anchorCtr="1"/>
          <a:lstStyle/>
          <a:p>
            <a:pPr>
              <a:defRPr sz="14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ru-RU"/>
              <a:t>Хранение углерода в пуле </a:t>
            </a:r>
            <a:r>
              <a:rPr lang="ru-RU" sz="1400" b="0" i="0" u="none" strike="noStrike" baseline="0">
                <a:effectLst/>
              </a:rPr>
              <a:t>древесной</a:t>
            </a:r>
            <a:r>
              <a:rPr lang="ru-RU"/>
              <a:t> щепы по базовой линии и проектному сценарию, т СО</a:t>
            </a:r>
            <a:r>
              <a:rPr lang="ru-RU" baseline="-25000"/>
              <a:t>2</a:t>
            </a:r>
          </a:p>
        </c:rich>
      </c:tx>
      <c:overlay val="0"/>
      <c:spPr>
        <a:noFill/>
        <a:ln>
          <a:noFill/>
        </a:ln>
        <a:effectLst/>
      </c:spPr>
      <c:txPr>
        <a:bodyPr rot="0" spcFirstLastPara="1" vertOverflow="ellipsis" vert="horz" wrap="square" lIns="0" tIns="0" rIns="0" bIns="0" anchor="ctr" anchorCtr="1"/>
        <a:lstStyle/>
        <a:p>
          <a:pPr>
            <a:defRPr sz="14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ru-RU"/>
        </a:p>
      </c:txPr>
    </c:title>
    <c:autoTitleDeleted val="0"/>
    <c:plotArea>
      <c:layout/>
      <c:lineChart>
        <c:grouping val="standard"/>
        <c:varyColors val="0"/>
        <c:ser>
          <c:idx val="0"/>
          <c:order val="0"/>
          <c:tx>
            <c:strRef>
              <c:f>'PE_chippedwood,y'!$B$12</c:f>
              <c:strCache>
                <c:ptCount val="1"/>
                <c:pt idx="0">
                  <c:v>Проектный сценарий (Щепа древесная)</c:v>
                </c:pt>
              </c:strCache>
            </c:strRef>
          </c:tx>
          <c:spPr>
            <a:ln w="28575" cap="rnd">
              <a:solidFill>
                <a:schemeClr val="accent1"/>
              </a:solidFill>
              <a:round/>
            </a:ln>
            <a:effectLst/>
          </c:spPr>
          <c:marker>
            <c:symbol val="none"/>
          </c:marker>
          <c:cat>
            <c:numRef>
              <c:f>'PE_chippedwood,y'!$C$2:$Q$2</c:f>
              <c:numCache>
                <c:formatCode>General</c:formatCode>
                <c:ptCount val="15"/>
                <c:pt idx="0">
                  <c:v>2024</c:v>
                </c:pt>
                <c:pt idx="1">
                  <c:v>2025</c:v>
                </c:pt>
                <c:pt idx="2">
                  <c:v>2026</c:v>
                </c:pt>
                <c:pt idx="3">
                  <c:v>2027</c:v>
                </c:pt>
                <c:pt idx="4">
                  <c:v>2028</c:v>
                </c:pt>
                <c:pt idx="5">
                  <c:v>2029</c:v>
                </c:pt>
                <c:pt idx="6">
                  <c:v>2030</c:v>
                </c:pt>
                <c:pt idx="7">
                  <c:v>2031</c:v>
                </c:pt>
                <c:pt idx="8">
                  <c:v>2032</c:v>
                </c:pt>
                <c:pt idx="9">
                  <c:v>2033</c:v>
                </c:pt>
                <c:pt idx="10">
                  <c:v>2034</c:v>
                </c:pt>
                <c:pt idx="11">
                  <c:v>2035</c:v>
                </c:pt>
                <c:pt idx="12">
                  <c:v>2036</c:v>
                </c:pt>
                <c:pt idx="13">
                  <c:v>2037</c:v>
                </c:pt>
                <c:pt idx="14">
                  <c:v>2038</c:v>
                </c:pt>
              </c:numCache>
            </c:numRef>
          </c:cat>
          <c:val>
            <c:numRef>
              <c:f>'PE_chippedwood,y'!$C$6:$Q$6</c:f>
              <c:numCache>
                <c:formatCode>0</c:formatCode>
                <c:ptCount val="15"/>
                <c:pt idx="0">
                  <c:v>-2494.415</c:v>
                </c:pt>
                <c:pt idx="1">
                  <c:v>-5070.7066666666669</c:v>
                </c:pt>
                <c:pt idx="2">
                  <c:v>-8162.2566666666671</c:v>
                </c:pt>
                <c:pt idx="3">
                  <c:v>-11253.806666666669</c:v>
                </c:pt>
                <c:pt idx="4">
                  <c:v>-14345.356666666668</c:v>
                </c:pt>
                <c:pt idx="5">
                  <c:v>-17436.906666666666</c:v>
                </c:pt>
                <c:pt idx="6">
                  <c:v>-20528.456666666669</c:v>
                </c:pt>
                <c:pt idx="7">
                  <c:v>-23620.006666666664</c:v>
                </c:pt>
                <c:pt idx="8">
                  <c:v>-26711.556666666667</c:v>
                </c:pt>
                <c:pt idx="9">
                  <c:v>-29803.106666666663</c:v>
                </c:pt>
                <c:pt idx="10">
                  <c:v>-32894.656666666662</c:v>
                </c:pt>
                <c:pt idx="11">
                  <c:v>-35986.206666666658</c:v>
                </c:pt>
                <c:pt idx="12">
                  <c:v>-39077.756666666661</c:v>
                </c:pt>
                <c:pt idx="13">
                  <c:v>-42169.306666666656</c:v>
                </c:pt>
                <c:pt idx="14">
                  <c:v>-45260.856666666659</c:v>
                </c:pt>
              </c:numCache>
            </c:numRef>
          </c:val>
          <c:smooth val="0"/>
          <c:extLst xmlns:unk6="http://schemas.microsoft.com/office/drawing/2017/03/chart" xmlns:unk5="http://schemas.microsoft.com/office/drawing/2014/chart" xmlns:vyd="http://volga.yandex.com/schemas/document/model" xmlns:mc="http://schemas.openxmlformats.org/markup-compatibility/2006">
            <c:ext xmlns:c16="http://schemas.microsoft.com/office/drawing/2014/chart" uri="{C3380CC4-5D6E-409C-BE32-E72D297353CC}">
              <c16:uniqueId val="{00000000-517F-4A48-B613-FD48D4F1F5D0}"/>
            </c:ext>
          </c:extLst>
        </c:ser>
        <c:ser>
          <c:idx val="1"/>
          <c:order val="1"/>
          <c:tx>
            <c:strRef>
              <c:f>'PE_chippedwood,y'!$B$11</c:f>
              <c:strCache>
                <c:ptCount val="1"/>
                <c:pt idx="0">
                  <c:v>Базовая линия (Щепа древесная)</c:v>
                </c:pt>
              </c:strCache>
            </c:strRef>
          </c:tx>
          <c:spPr>
            <a:ln w="28575" cap="rnd">
              <a:solidFill>
                <a:schemeClr val="accent2"/>
              </a:solidFill>
              <a:round/>
            </a:ln>
            <a:effectLst/>
          </c:spPr>
          <c:marker>
            <c:symbol val="none"/>
          </c:marker>
          <c:val>
            <c:numRef>
              <c:f>'PE_chippedwood,y'!$C$11:$Q$11</c:f>
              <c:numCache>
                <c:formatCode>0</c:formatCode>
                <c:ptCount val="15"/>
                <c:pt idx="0">
                  <c:v>-2227.2174665487282</c:v>
                </c:pt>
                <c:pt idx="1">
                  <c:v>-4068.067317267813</c:v>
                </c:pt>
                <c:pt idx="2">
                  <c:v>-5989.2155405587246</c:v>
                </c:pt>
                <c:pt idx="3">
                  <c:v>-7514.0318958781399</c:v>
                </c:pt>
                <c:pt idx="4">
                  <c:v>-8724.2794391243169</c:v>
                </c:pt>
                <c:pt idx="5">
                  <c:v>-9684.8535507697725</c:v>
                </c:pt>
                <c:pt idx="6">
                  <c:v>-10447.261728429481</c:v>
                </c:pt>
                <c:pt idx="7">
                  <c:v>-11052.385500052573</c:v>
                </c:pt>
                <c:pt idx="8">
                  <c:v>-11532.672555875301</c:v>
                </c:pt>
                <c:pt idx="9">
                  <c:v>-11913.876644705155</c:v>
                </c:pt>
                <c:pt idx="10">
                  <c:v>-12216.4385305167</c:v>
                </c:pt>
                <c:pt idx="11">
                  <c:v>-12456.582058428061</c:v>
                </c:pt>
                <c:pt idx="12">
                  <c:v>-12647.18410284299</c:v>
                </c:pt>
                <c:pt idx="13">
                  <c:v>-12798.465045748761</c:v>
                </c:pt>
                <c:pt idx="14">
                  <c:v>-12918.536809704443</c:v>
                </c:pt>
              </c:numCache>
            </c:numRef>
          </c:val>
          <c:smooth val="0"/>
          <c:extLst xmlns:unk6="http://schemas.microsoft.com/office/drawing/2017/03/chart" xmlns:unk5="http://schemas.microsoft.com/office/drawing/2014/chart" xmlns:vyd="http://volga.yandex.com/schemas/document/model" xmlns:mc="http://schemas.openxmlformats.org/markup-compatibility/2006">
            <c:ext xmlns:c16="http://schemas.microsoft.com/office/drawing/2014/chart" uri="{C3380CC4-5D6E-409C-BE32-E72D297353CC}">
              <c16:uniqueId val="{00000002-517F-4A48-B613-FD48D4F1F5D0}"/>
            </c:ext>
          </c:extLst>
        </c:ser>
        <c:dLbls>
          <c:showLegendKey val="0"/>
          <c:showVal val="0"/>
          <c:showCatName val="0"/>
          <c:showSerName val="0"/>
          <c:showPercent val="0"/>
          <c:showBubbleSize val="0"/>
        </c:dLbls>
        <c:smooth val="0"/>
        <c:axId val="567699727"/>
        <c:axId val="507521423"/>
      </c:lineChart>
      <c:valAx>
        <c:axId val="507521423"/>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ru-RU"/>
          </a:p>
        </c:txPr>
        <c:crossAx val="567699727"/>
        <c:crosses val="autoZero"/>
        <c:crossBetween val="midCat"/>
      </c:valAx>
      <c:catAx>
        <c:axId val="567699727"/>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ru-RU"/>
                  <a:t>годы проекта</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ru-RU"/>
            </a:p>
          </c:txPr>
        </c:title>
        <c:numFmt formatCode="General" sourceLinked="1"/>
        <c:majorTickMark val="none"/>
        <c:minorTickMark val="none"/>
        <c:tickLblPos val="high"/>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ru-RU"/>
          </a:p>
        </c:txPr>
        <c:crossAx val="507521423"/>
        <c:crosses val="autoZero"/>
        <c:auto val="1"/>
        <c:lblAlgn val="ctr"/>
        <c:lblOffset val="100"/>
        <c:noMultiLvlLbl val="0"/>
      </c:catAx>
      <c:spPr>
        <a:noFill/>
        <a:ln>
          <a:noFill/>
        </a:ln>
        <a:effectLst/>
      </c:spPr>
    </c:plotArea>
    <c:legend>
      <c:legendPos val="b"/>
      <c:overlay val="0"/>
      <c:spPr>
        <a:noFill/>
        <a:ln>
          <a:noFill/>
        </a:ln>
        <a:effectLst/>
      </c:spPr>
      <c:txPr>
        <a:bodyPr rot="0" spcFirstLastPara="1" vertOverflow="ellipsis" vert="horz" wrap="square" lIns="0" tIns="0" rIns="0" bIns="0"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ru-RU"/>
        </a:p>
      </c:txPr>
    </c:legend>
    <c:plotVisOnly val="1"/>
    <c:dispBlanksAs val="gap"/>
    <c:extLst xmlns:unk6="http://schemas.microsoft.com/office/drawing/2017/03/chart" xmlns:unk5="http://schemas.microsoft.com/office/drawing/2014/chart" xmlns:vyd="http://volga.yandex.com/schemas/document/model" xmlns:mc="http://schemas.openxmlformats.org/markup-compatibility/2006">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lIns="0" tIns="0" rIns="0" bIns="0"/>
    <a:lstStyle/>
    <a:p>
      <a:pPr>
        <a:defRPr>
          <a:latin typeface="Times New Roman" panose="02020603050405020304" pitchFamily="18" charset="0"/>
          <a:cs typeface="Times New Roman" panose="02020603050405020304" pitchFamily="18" charset="0"/>
        </a:defRPr>
      </a:pPr>
      <a:endParaRPr lang="ru-RU"/>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ru-RU"/>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lIns="0" tIns="0" rIns="0" bIns="0" anchor="ctr" anchorCtr="1"/>
          <a:lstStyle/>
          <a:p>
            <a:pPr>
              <a:defRPr sz="14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ru-RU"/>
              <a:t>Увеличение поглощения в течение года </a:t>
            </a:r>
            <a:r>
              <a:rPr lang="en-US" i="1"/>
              <a:t>y</a:t>
            </a:r>
            <a:endParaRPr lang="ru-RU" i="1"/>
          </a:p>
        </c:rich>
      </c:tx>
      <c:overlay val="0"/>
      <c:spPr>
        <a:noFill/>
        <a:ln>
          <a:noFill/>
        </a:ln>
        <a:effectLst/>
      </c:spPr>
      <c:txPr>
        <a:bodyPr rot="0" spcFirstLastPara="1" vertOverflow="ellipsis" vert="horz" wrap="square" lIns="0" tIns="0" rIns="0" bIns="0" anchor="ctr" anchorCtr="1"/>
        <a:lstStyle/>
        <a:p>
          <a:pPr>
            <a:defRPr sz="1400" b="0" i="0" u="none" strike="noStrike" kern="1200" spc="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ru-RU"/>
        </a:p>
      </c:txPr>
    </c:title>
    <c:autoTitleDeleted val="0"/>
    <c:plotArea>
      <c:layout/>
      <c:barChart>
        <c:barDir val="col"/>
        <c:grouping val="clustered"/>
        <c:varyColors val="0"/>
        <c:ser>
          <c:idx val="0"/>
          <c:order val="0"/>
          <c:tx>
            <c:strRef>
              <c:f>Результат!$B$12:$C$12</c:f>
              <c:strCache>
                <c:ptCount val="2"/>
                <c:pt idx="0">
                  <c:v>Увеличение поглощения в течение года y</c:v>
                </c:pt>
                <c:pt idx="1">
                  <c:v>т CO2/год</c:v>
                </c:pt>
              </c:strCache>
            </c:strRef>
          </c:tx>
          <c:spPr>
            <a:solidFill>
              <a:srgbClr val="00B050"/>
            </a:solidFill>
            <a:ln>
              <a:noFill/>
            </a:ln>
            <a:effectLst/>
          </c:spPr>
          <c:invertIfNegative val="0"/>
          <c:dPt>
            <c:idx val="0"/>
            <c:invertIfNegative val="0"/>
            <c:bubble3D val="0"/>
            <c:spPr>
              <a:solidFill>
                <a:srgbClr val="00B050"/>
              </a:solidFill>
              <a:ln>
                <a:noFill/>
              </a:ln>
              <a:effectLst/>
            </c:spPr>
            <c:extLst xmlns:unk6="http://schemas.microsoft.com/office/drawing/2017/03/chart" xmlns:unk5="http://schemas.microsoft.com/office/drawing/2014/chart" xmlns:vyd="http://volga.yandex.com/schemas/document/model" xmlns:mc="http://schemas.openxmlformats.org/markup-compatibility/2006">
              <c:ext xmlns:c16="http://schemas.microsoft.com/office/drawing/2014/chart" uri="{C3380CC4-5D6E-409C-BE32-E72D297353CC}">
                <c16:uniqueId val="{00000003-AED4-4627-B2C8-EC5EAB010C87}"/>
              </c:ext>
            </c:extLst>
          </c:dPt>
          <c:cat>
            <c:numRef>
              <c:f>Результат!$D$1:$R$1</c:f>
              <c:numCache>
                <c:formatCode>General</c:formatCode>
                <c:ptCount val="15"/>
                <c:pt idx="0">
                  <c:v>2024</c:v>
                </c:pt>
                <c:pt idx="1">
                  <c:v>2025</c:v>
                </c:pt>
                <c:pt idx="2">
                  <c:v>2026</c:v>
                </c:pt>
                <c:pt idx="3">
                  <c:v>2027</c:v>
                </c:pt>
                <c:pt idx="4">
                  <c:v>2028</c:v>
                </c:pt>
                <c:pt idx="5">
                  <c:v>2029</c:v>
                </c:pt>
                <c:pt idx="6">
                  <c:v>2030</c:v>
                </c:pt>
                <c:pt idx="7">
                  <c:v>2031</c:v>
                </c:pt>
                <c:pt idx="8">
                  <c:v>2032</c:v>
                </c:pt>
                <c:pt idx="9">
                  <c:v>2033</c:v>
                </c:pt>
                <c:pt idx="10">
                  <c:v>2034</c:v>
                </c:pt>
                <c:pt idx="11">
                  <c:v>2035</c:v>
                </c:pt>
                <c:pt idx="12">
                  <c:v>2036</c:v>
                </c:pt>
                <c:pt idx="13">
                  <c:v>2037</c:v>
                </c:pt>
                <c:pt idx="14">
                  <c:v>2038</c:v>
                </c:pt>
              </c:numCache>
            </c:numRef>
          </c:cat>
          <c:val>
            <c:numRef>
              <c:f>Результат!$D$12:$R$12</c:f>
              <c:numCache>
                <c:formatCode>0</c:formatCode>
                <c:ptCount val="15"/>
                <c:pt idx="0">
                  <c:v>507.97488863687181</c:v>
                </c:pt>
                <c:pt idx="1">
                  <c:v>986.97507655495065</c:v>
                </c:pt>
                <c:pt idx="2">
                  <c:v>1470.5301110747728</c:v>
                </c:pt>
                <c:pt idx="3">
                  <c:v>1866.8619790462708</c:v>
                </c:pt>
                <c:pt idx="4">
                  <c:v>2181.4307911195065</c:v>
                </c:pt>
                <c:pt idx="5">
                  <c:v>2431.1042227202261</c:v>
                </c:pt>
                <c:pt idx="6">
                  <c:v>2629.2701567059785</c:v>
                </c:pt>
                <c:pt idx="7">
                  <c:v>2786.5545627425881</c:v>
                </c:pt>
                <c:pt idx="8">
                  <c:v>2911.3912785429593</c:v>
                </c:pt>
                <c:pt idx="9">
                  <c:v>3010.4742455358255</c:v>
                </c:pt>
                <c:pt idx="10">
                  <c:v>3089.1164485541385</c:v>
                </c:pt>
                <c:pt idx="11">
                  <c:v>3151.5348064543186</c:v>
                </c:pt>
                <c:pt idx="12">
                  <c:v>3201.0762899507581</c:v>
                </c:pt>
                <c:pt idx="13">
                  <c:v>3240.3973914599092</c:v>
                </c:pt>
                <c:pt idx="14">
                  <c:v>3271.6065704100047</c:v>
                </c:pt>
              </c:numCache>
            </c:numRef>
          </c:val>
          <c:extLst xmlns:unk6="http://schemas.microsoft.com/office/drawing/2017/03/chart" xmlns:unk5="http://schemas.microsoft.com/office/drawing/2014/chart" xmlns:vyd="http://volga.yandex.com/schemas/document/model" xmlns:mc="http://schemas.openxmlformats.org/markup-compatibility/2006">
            <c:ext xmlns:c16="http://schemas.microsoft.com/office/drawing/2014/chart" uri="{C3380CC4-5D6E-409C-BE32-E72D297353CC}">
              <c16:uniqueId val="{00000000-AED4-4627-B2C8-EC5EAB010C87}"/>
            </c:ext>
          </c:extLst>
        </c:ser>
        <c:dLbls>
          <c:showLegendKey val="0"/>
          <c:showVal val="0"/>
          <c:showCatName val="0"/>
          <c:showSerName val="0"/>
          <c:showPercent val="0"/>
          <c:showBubbleSize val="0"/>
        </c:dLbls>
        <c:gapWidth val="150"/>
        <c:axId val="759347368"/>
        <c:axId val="759344088"/>
      </c:barChart>
      <c:valAx>
        <c:axId val="759344088"/>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r>
                  <a:rPr lang="ru-RU"/>
                  <a:t>т </a:t>
                </a:r>
                <a:r>
                  <a:rPr lang="en-US"/>
                  <a:t>CO</a:t>
                </a:r>
                <a:r>
                  <a:rPr lang="en-US" baseline="-25000"/>
                  <a:t>2</a:t>
                </a:r>
                <a:r>
                  <a:rPr lang="ru-RU"/>
                  <a:t>/год</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ru-RU"/>
            </a:p>
          </c:txPr>
        </c:title>
        <c:numFmt formatCode="0" sourceLinked="1"/>
        <c:majorTickMark val="none"/>
        <c:minorTickMark val="none"/>
        <c:tickLblPos val="nextTo"/>
        <c:spPr>
          <a:noFill/>
          <a:ln w="12700">
            <a:solidFill>
              <a:schemeClr val="bg1">
                <a:lumMod val="75000"/>
              </a:schemeClr>
            </a:solid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ru-RU"/>
          </a:p>
        </c:txPr>
        <c:crossAx val="759347368"/>
        <c:crosses val="autoZero"/>
        <c:crossBetween val="between"/>
      </c:valAx>
      <c:catAx>
        <c:axId val="759347368"/>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low"/>
        <c:spPr>
          <a:noFill/>
          <a:ln w="12700" cap="flat" cmpd="sng" algn="ctr">
            <a:solidFill>
              <a:schemeClr val="bg1">
                <a:lumMod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Times New Roman" panose="02020603050405020304" pitchFamily="18" charset="0"/>
                <a:ea typeface="+mn-ea"/>
                <a:cs typeface="Times New Roman" panose="02020603050405020304" pitchFamily="18" charset="0"/>
              </a:defRPr>
            </a:pPr>
            <a:endParaRPr lang="ru-RU"/>
          </a:p>
        </c:txPr>
        <c:crossAx val="759344088"/>
        <c:crosses val="autoZero"/>
        <c:auto val="1"/>
        <c:lblAlgn val="ctr"/>
        <c:lblOffset val="100"/>
        <c:noMultiLvlLbl val="0"/>
      </c:catAx>
      <c:spPr>
        <a:noFill/>
        <a:ln>
          <a:noFill/>
        </a:ln>
        <a:effectLst/>
      </c:spPr>
    </c:plotArea>
    <c:plotVisOnly val="1"/>
    <c:dispBlanksAs val="gap"/>
    <c:extLst xmlns:unk6="http://schemas.microsoft.com/office/drawing/2017/03/chart" xmlns:unk5="http://schemas.microsoft.com/office/drawing/2014/chart" xmlns:vyd="http://volga.yandex.com/schemas/document/model" xmlns:mc="http://schemas.openxmlformats.org/markup-compatibility/2006">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noFill/>
      <a:round/>
    </a:ln>
    <a:effectLst/>
  </c:spPr>
  <c:txPr>
    <a:bodyPr lIns="0" tIns="0" rIns="0" bIns="0"/>
    <a:lstStyle/>
    <a:p>
      <a:pPr>
        <a:defRPr>
          <a:latin typeface="Times New Roman" panose="02020603050405020304" pitchFamily="18" charset="0"/>
          <a:cs typeface="Times New Roman" panose="02020603050405020304" pitchFamily="18" charset="0"/>
        </a:defRPr>
      </a:pPr>
      <a:endParaRPr lang="ru-RU"/>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png"/><Relationship Id="rId1" Type="http://schemas.openxmlformats.org/officeDocument/2006/relationships/chart" Target="../charts/chart3.xml"/><Relationship Id="rId6" Type="http://schemas.openxmlformats.org/officeDocument/2006/relationships/image" Target="../media/image5.png"/><Relationship Id="rId5" Type="http://schemas.openxmlformats.org/officeDocument/2006/relationships/image" Target="../media/image4.png"/><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1.png"/><Relationship Id="rId1" Type="http://schemas.openxmlformats.org/officeDocument/2006/relationships/chart" Target="../charts/chart4.xml"/><Relationship Id="rId5" Type="http://schemas.openxmlformats.org/officeDocument/2006/relationships/image" Target="../media/image8.png"/><Relationship Id="rId4" Type="http://schemas.openxmlformats.org/officeDocument/2006/relationships/image" Target="../media/image7.png"/></Relationships>
</file>

<file path=xl/drawings/_rels/drawing4.xml.rels><?xml version="1.0" encoding="UTF-8" standalone="yes"?>
<Relationships xmlns="http://schemas.openxmlformats.org/package/2006/relationships"><Relationship Id="rId8" Type="http://schemas.openxmlformats.org/officeDocument/2006/relationships/image" Target="../media/image16.png"/><Relationship Id="rId13" Type="http://schemas.openxmlformats.org/officeDocument/2006/relationships/image" Target="../media/image21.png"/><Relationship Id="rId18" Type="http://schemas.openxmlformats.org/officeDocument/2006/relationships/image" Target="../media/image26.png"/><Relationship Id="rId3" Type="http://schemas.openxmlformats.org/officeDocument/2006/relationships/image" Target="../media/image11.png"/><Relationship Id="rId7" Type="http://schemas.openxmlformats.org/officeDocument/2006/relationships/image" Target="../media/image15.png"/><Relationship Id="rId12" Type="http://schemas.openxmlformats.org/officeDocument/2006/relationships/image" Target="../media/image20.png"/><Relationship Id="rId17" Type="http://schemas.openxmlformats.org/officeDocument/2006/relationships/image" Target="../media/image25.png"/><Relationship Id="rId2" Type="http://schemas.openxmlformats.org/officeDocument/2006/relationships/image" Target="../media/image10.png"/><Relationship Id="rId16" Type="http://schemas.openxmlformats.org/officeDocument/2006/relationships/image" Target="../media/image24.png"/><Relationship Id="rId1" Type="http://schemas.openxmlformats.org/officeDocument/2006/relationships/image" Target="../media/image9.png"/><Relationship Id="rId6" Type="http://schemas.openxmlformats.org/officeDocument/2006/relationships/image" Target="../media/image14.png"/><Relationship Id="rId11" Type="http://schemas.openxmlformats.org/officeDocument/2006/relationships/image" Target="../media/image19.png"/><Relationship Id="rId5" Type="http://schemas.openxmlformats.org/officeDocument/2006/relationships/image" Target="../media/image13.png"/><Relationship Id="rId15" Type="http://schemas.openxmlformats.org/officeDocument/2006/relationships/image" Target="../media/image23.png"/><Relationship Id="rId10" Type="http://schemas.openxmlformats.org/officeDocument/2006/relationships/image" Target="../media/image18.png"/><Relationship Id="rId4" Type="http://schemas.openxmlformats.org/officeDocument/2006/relationships/image" Target="../media/image12.png"/><Relationship Id="rId9" Type="http://schemas.openxmlformats.org/officeDocument/2006/relationships/image" Target="../media/image17.png"/><Relationship Id="rId14" Type="http://schemas.openxmlformats.org/officeDocument/2006/relationships/image" Target="../media/image22.png"/></Relationships>
</file>

<file path=xl/drawings/_rels/drawing5.xml.rels><?xml version="1.0" encoding="UTF-8" standalone="yes"?>
<Relationships xmlns="http://schemas.openxmlformats.org/package/2006/relationships"><Relationship Id="rId13" Type="http://schemas.openxmlformats.org/officeDocument/2006/relationships/image" Target="../media/image38.png"/><Relationship Id="rId18" Type="http://schemas.openxmlformats.org/officeDocument/2006/relationships/image" Target="../media/image43.png"/><Relationship Id="rId26" Type="http://schemas.openxmlformats.org/officeDocument/2006/relationships/image" Target="../media/image51.png"/><Relationship Id="rId3" Type="http://schemas.openxmlformats.org/officeDocument/2006/relationships/image" Target="../media/image29.png"/><Relationship Id="rId21" Type="http://schemas.openxmlformats.org/officeDocument/2006/relationships/image" Target="../media/image46.png"/><Relationship Id="rId34" Type="http://schemas.openxmlformats.org/officeDocument/2006/relationships/image" Target="../media/image59.png"/><Relationship Id="rId7" Type="http://schemas.openxmlformats.org/officeDocument/2006/relationships/image" Target="../media/image33.png"/><Relationship Id="rId12" Type="http://schemas.openxmlformats.org/officeDocument/2006/relationships/image" Target="../media/image19.png"/><Relationship Id="rId17" Type="http://schemas.openxmlformats.org/officeDocument/2006/relationships/image" Target="../media/image42.png"/><Relationship Id="rId25" Type="http://schemas.openxmlformats.org/officeDocument/2006/relationships/image" Target="../media/image50.png"/><Relationship Id="rId33" Type="http://schemas.openxmlformats.org/officeDocument/2006/relationships/image" Target="../media/image58.png"/><Relationship Id="rId2" Type="http://schemas.openxmlformats.org/officeDocument/2006/relationships/image" Target="../media/image28.png"/><Relationship Id="rId16" Type="http://schemas.openxmlformats.org/officeDocument/2006/relationships/image" Target="../media/image41.png"/><Relationship Id="rId20" Type="http://schemas.openxmlformats.org/officeDocument/2006/relationships/image" Target="../media/image45.png"/><Relationship Id="rId29" Type="http://schemas.openxmlformats.org/officeDocument/2006/relationships/image" Target="../media/image54.png"/><Relationship Id="rId1" Type="http://schemas.openxmlformats.org/officeDocument/2006/relationships/image" Target="../media/image27.png"/><Relationship Id="rId6" Type="http://schemas.openxmlformats.org/officeDocument/2006/relationships/image" Target="../media/image32.png"/><Relationship Id="rId11" Type="http://schemas.openxmlformats.org/officeDocument/2006/relationships/image" Target="../media/image37.png"/><Relationship Id="rId24" Type="http://schemas.openxmlformats.org/officeDocument/2006/relationships/image" Target="../media/image49.png"/><Relationship Id="rId32" Type="http://schemas.openxmlformats.org/officeDocument/2006/relationships/image" Target="../media/image57.png"/><Relationship Id="rId5" Type="http://schemas.openxmlformats.org/officeDocument/2006/relationships/image" Target="../media/image31.png"/><Relationship Id="rId15" Type="http://schemas.openxmlformats.org/officeDocument/2006/relationships/image" Target="../media/image40.png"/><Relationship Id="rId23" Type="http://schemas.openxmlformats.org/officeDocument/2006/relationships/image" Target="../media/image48.png"/><Relationship Id="rId28" Type="http://schemas.openxmlformats.org/officeDocument/2006/relationships/image" Target="../media/image53.png"/><Relationship Id="rId10" Type="http://schemas.openxmlformats.org/officeDocument/2006/relationships/image" Target="../media/image36.png"/><Relationship Id="rId19" Type="http://schemas.openxmlformats.org/officeDocument/2006/relationships/image" Target="../media/image44.png"/><Relationship Id="rId31" Type="http://schemas.openxmlformats.org/officeDocument/2006/relationships/image" Target="../media/image56.png"/><Relationship Id="rId4" Type="http://schemas.openxmlformats.org/officeDocument/2006/relationships/image" Target="../media/image30.png"/><Relationship Id="rId9" Type="http://schemas.openxmlformats.org/officeDocument/2006/relationships/image" Target="../media/image35.png"/><Relationship Id="rId14" Type="http://schemas.openxmlformats.org/officeDocument/2006/relationships/image" Target="../media/image39.png"/><Relationship Id="rId22" Type="http://schemas.openxmlformats.org/officeDocument/2006/relationships/image" Target="../media/image47.png"/><Relationship Id="rId27" Type="http://schemas.openxmlformats.org/officeDocument/2006/relationships/image" Target="../media/image52.png"/><Relationship Id="rId30" Type="http://schemas.openxmlformats.org/officeDocument/2006/relationships/image" Target="../media/image55.png"/><Relationship Id="rId35" Type="http://schemas.openxmlformats.org/officeDocument/2006/relationships/image" Target="../media/image60.png"/><Relationship Id="rId8" Type="http://schemas.openxmlformats.org/officeDocument/2006/relationships/image" Target="../media/image34.png"/></Relationships>
</file>

<file path=xl/drawings/_rels/drawing6.xml.rels><?xml version="1.0" encoding="UTF-8" standalone="yes"?>
<Relationships xmlns="http://schemas.openxmlformats.org/package/2006/relationships"><Relationship Id="rId8" Type="http://schemas.openxmlformats.org/officeDocument/2006/relationships/image" Target="../media/image67.png"/><Relationship Id="rId13" Type="http://schemas.openxmlformats.org/officeDocument/2006/relationships/image" Target="../media/image71.png"/><Relationship Id="rId18" Type="http://schemas.openxmlformats.org/officeDocument/2006/relationships/image" Target="../media/image75.png"/><Relationship Id="rId3" Type="http://schemas.openxmlformats.org/officeDocument/2006/relationships/image" Target="../media/image62.png"/><Relationship Id="rId7" Type="http://schemas.openxmlformats.org/officeDocument/2006/relationships/image" Target="../media/image66.png"/><Relationship Id="rId12" Type="http://schemas.openxmlformats.org/officeDocument/2006/relationships/image" Target="../media/image70.png"/><Relationship Id="rId17" Type="http://schemas.openxmlformats.org/officeDocument/2006/relationships/image" Target="../media/image1.png"/><Relationship Id="rId2" Type="http://schemas.openxmlformats.org/officeDocument/2006/relationships/image" Target="../media/image61.png"/><Relationship Id="rId16" Type="http://schemas.openxmlformats.org/officeDocument/2006/relationships/image" Target="../media/image74.png"/><Relationship Id="rId1" Type="http://schemas.openxmlformats.org/officeDocument/2006/relationships/image" Target="../media/image11.png"/><Relationship Id="rId6" Type="http://schemas.openxmlformats.org/officeDocument/2006/relationships/image" Target="../media/image65.png"/><Relationship Id="rId11" Type="http://schemas.openxmlformats.org/officeDocument/2006/relationships/image" Target="../media/image69.png"/><Relationship Id="rId5" Type="http://schemas.openxmlformats.org/officeDocument/2006/relationships/image" Target="../media/image64.png"/><Relationship Id="rId15" Type="http://schemas.openxmlformats.org/officeDocument/2006/relationships/image" Target="../media/image73.png"/><Relationship Id="rId10" Type="http://schemas.openxmlformats.org/officeDocument/2006/relationships/image" Target="../media/image30.png"/><Relationship Id="rId4" Type="http://schemas.openxmlformats.org/officeDocument/2006/relationships/image" Target="../media/image63.png"/><Relationship Id="rId9" Type="http://schemas.openxmlformats.org/officeDocument/2006/relationships/image" Target="../media/image68.png"/><Relationship Id="rId14" Type="http://schemas.openxmlformats.org/officeDocument/2006/relationships/image" Target="../media/image72.png"/></Relationships>
</file>

<file path=xl/drawings/_rels/drawing7.xml.rels><?xml version="1.0" encoding="UTF-8" standalone="yes"?>
<Relationships xmlns="http://schemas.openxmlformats.org/package/2006/relationships"><Relationship Id="rId8" Type="http://schemas.openxmlformats.org/officeDocument/2006/relationships/image" Target="../media/image80.png"/><Relationship Id="rId3" Type="http://schemas.openxmlformats.org/officeDocument/2006/relationships/image" Target="../media/image76.png"/><Relationship Id="rId7" Type="http://schemas.openxmlformats.org/officeDocument/2006/relationships/image" Target="../media/image79.png"/><Relationship Id="rId2" Type="http://schemas.openxmlformats.org/officeDocument/2006/relationships/image" Target="../media/image27.png"/><Relationship Id="rId1" Type="http://schemas.openxmlformats.org/officeDocument/2006/relationships/chart" Target="../charts/chart5.xml"/><Relationship Id="rId6" Type="http://schemas.openxmlformats.org/officeDocument/2006/relationships/image" Target="../media/image78.png"/><Relationship Id="rId5" Type="http://schemas.openxmlformats.org/officeDocument/2006/relationships/image" Target="../media/image71.png"/><Relationship Id="rId10" Type="http://schemas.openxmlformats.org/officeDocument/2006/relationships/image" Target="../media/image8.png"/><Relationship Id="rId4" Type="http://schemas.openxmlformats.org/officeDocument/2006/relationships/image" Target="../media/image77.png"/><Relationship Id="rId9" Type="http://schemas.openxmlformats.org/officeDocument/2006/relationships/image" Target="../media/image81.png"/></Relationships>
</file>

<file path=xl/drawings/_rels/drawing8.xml.rels><?xml version="1.0" encoding="UTF-8" standalone="yes"?>
<Relationships xmlns="http://schemas.openxmlformats.org/package/2006/relationships"><Relationship Id="rId1" Type="http://schemas.openxmlformats.org/officeDocument/2006/relationships/image" Target="../media/image82.emf"/></Relationships>
</file>

<file path=xl/drawings/drawing1.xml><?xml version="1.0" encoding="utf-8"?>
<xdr:wsDr xmlns:xdr="http://schemas.openxmlformats.org/drawingml/2006/spreadsheetDrawing" xmlns:a="http://schemas.openxmlformats.org/drawingml/2006/main">
  <xdr:twoCellAnchor>
    <xdr:from>
      <xdr:col>0</xdr:col>
      <xdr:colOff>447675</xdr:colOff>
      <xdr:row>27</xdr:row>
      <xdr:rowOff>133350</xdr:rowOff>
    </xdr:from>
    <xdr:to>
      <xdr:col>4</xdr:col>
      <xdr:colOff>28575</xdr:colOff>
      <xdr:row>46</xdr:row>
      <xdr:rowOff>185737</xdr:rowOff>
    </xdr:to>
    <xdr:graphicFrame macro="">
      <xdr:nvGraphicFramePr>
        <xdr:cNvPr id="2" name="Диаграмма 1">
          <a:extLst>
            <a:ext uri="{FF2B5EF4-FFF2-40B4-BE49-F238E27FC236}">
              <a16:creationId xmlns:a16="http://schemas.microsoft.com/office/drawing/2014/main" id="{536CE20E-70FC-0D4E-29C2-9B657213BF98}"/>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4</xdr:col>
      <xdr:colOff>371475</xdr:colOff>
      <xdr:row>27</xdr:row>
      <xdr:rowOff>109536</xdr:rowOff>
    </xdr:from>
    <xdr:to>
      <xdr:col>12</xdr:col>
      <xdr:colOff>409575</xdr:colOff>
      <xdr:row>46</xdr:row>
      <xdr:rowOff>152399</xdr:rowOff>
    </xdr:to>
    <xdr:graphicFrame macro="">
      <xdr:nvGraphicFramePr>
        <xdr:cNvPr id="3" name="Диаграмма 2">
          <a:extLst>
            <a:ext uri="{FF2B5EF4-FFF2-40B4-BE49-F238E27FC236}">
              <a16:creationId xmlns:a16="http://schemas.microsoft.com/office/drawing/2014/main" id="{DDDEAE4C-C6A3-FAA3-9248-78F8674FF7C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18</xdr:col>
      <xdr:colOff>20504</xdr:colOff>
      <xdr:row>8</xdr:row>
      <xdr:rowOff>27381</xdr:rowOff>
    </xdr:from>
    <xdr:to>
      <xdr:col>20</xdr:col>
      <xdr:colOff>857250</xdr:colOff>
      <xdr:row>23</xdr:row>
      <xdr:rowOff>21167</xdr:rowOff>
    </xdr:to>
    <xdr:graphicFrame macro="">
      <xdr:nvGraphicFramePr>
        <xdr:cNvPr id="2" name="Диаграмма 1">
          <a:extLst>
            <a:ext uri="{FF2B5EF4-FFF2-40B4-BE49-F238E27FC236}">
              <a16:creationId xmlns:a16="http://schemas.microsoft.com/office/drawing/2014/main" id="{4C1759B7-830A-41FD-969C-6B84D22095D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438690</xdr:colOff>
      <xdr:row>2</xdr:row>
      <xdr:rowOff>21339</xdr:rowOff>
    </xdr:from>
    <xdr:to>
      <xdr:col>0</xdr:col>
      <xdr:colOff>791115</xdr:colOff>
      <xdr:row>2</xdr:row>
      <xdr:rowOff>215669</xdr:rowOff>
    </xdr:to>
    <xdr:pic>
      <xdr:nvPicPr>
        <xdr:cNvPr id="6" name="Рисунок 5">
          <a:extLst>
            <a:ext uri="{FF2B5EF4-FFF2-40B4-BE49-F238E27FC236}">
              <a16:creationId xmlns:a16="http://schemas.microsoft.com/office/drawing/2014/main" id="{935D5E46-A666-4E12-935A-F0CE1BABED7B}"/>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38690" y="402339"/>
          <a:ext cx="352425" cy="1943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42333</xdr:colOff>
      <xdr:row>3</xdr:row>
      <xdr:rowOff>31750</xdr:rowOff>
    </xdr:from>
    <xdr:to>
      <xdr:col>0</xdr:col>
      <xdr:colOff>1204383</xdr:colOff>
      <xdr:row>3</xdr:row>
      <xdr:rowOff>231775</xdr:rowOff>
    </xdr:to>
    <xdr:pic>
      <xdr:nvPicPr>
        <xdr:cNvPr id="7" name="Рисунок 6">
          <a:extLst>
            <a:ext uri="{FF2B5EF4-FFF2-40B4-BE49-F238E27FC236}">
              <a16:creationId xmlns:a16="http://schemas.microsoft.com/office/drawing/2014/main" id="{2DC2B835-358C-4AF6-B973-762DCA0DEEA9}"/>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2333" y="666750"/>
          <a:ext cx="1162050"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17</xdr:col>
      <xdr:colOff>444500</xdr:colOff>
      <xdr:row>5</xdr:row>
      <xdr:rowOff>381000</xdr:rowOff>
    </xdr:from>
    <xdr:to>
      <xdr:col>17</xdr:col>
      <xdr:colOff>1044575</xdr:colOff>
      <xdr:row>6</xdr:row>
      <xdr:rowOff>179916</xdr:rowOff>
    </xdr:to>
    <xdr:pic>
      <xdr:nvPicPr>
        <xdr:cNvPr id="9" name="Рисунок 8">
          <a:extLst>
            <a:ext uri="{FF2B5EF4-FFF2-40B4-BE49-F238E27FC236}">
              <a16:creationId xmlns:a16="http://schemas.microsoft.com/office/drawing/2014/main" id="{5DD6168E-BAC7-4029-BA86-65021862963F}"/>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6044333" y="1725083"/>
          <a:ext cx="600075" cy="20108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169333</xdr:colOff>
      <xdr:row>5</xdr:row>
      <xdr:rowOff>95251</xdr:rowOff>
    </xdr:from>
    <xdr:to>
      <xdr:col>0</xdr:col>
      <xdr:colOff>1217083</xdr:colOff>
      <xdr:row>5</xdr:row>
      <xdr:rowOff>295276</xdr:rowOff>
    </xdr:to>
    <xdr:pic>
      <xdr:nvPicPr>
        <xdr:cNvPr id="10" name="Рисунок 9">
          <a:extLst>
            <a:ext uri="{FF2B5EF4-FFF2-40B4-BE49-F238E27FC236}">
              <a16:creationId xmlns:a16="http://schemas.microsoft.com/office/drawing/2014/main" id="{D5C97E4A-FAEB-428D-9AE6-2168CE93B9BD}"/>
            </a:ext>
          </a:extLst>
        </xdr:cNvPr>
        <xdr:cNvPicPr>
          <a:picLocks noChangeAspect="1" noChangeArrowheads="1"/>
        </xdr:cNvPicPr>
      </xdr:nvPicPr>
      <xdr:blipFill>
        <a:blip xmlns:r="http://schemas.openxmlformats.org/officeDocument/2006/relationships" r:embed="rId5">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69333" y="1439334"/>
          <a:ext cx="1047750"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116416</xdr:colOff>
      <xdr:row>4</xdr:row>
      <xdr:rowOff>105834</xdr:rowOff>
    </xdr:from>
    <xdr:to>
      <xdr:col>0</xdr:col>
      <xdr:colOff>1183216</xdr:colOff>
      <xdr:row>4</xdr:row>
      <xdr:rowOff>305859</xdr:rowOff>
    </xdr:to>
    <xdr:pic>
      <xdr:nvPicPr>
        <xdr:cNvPr id="11" name="Рисунок 10">
          <a:extLst>
            <a:ext uri="{FF2B5EF4-FFF2-40B4-BE49-F238E27FC236}">
              <a16:creationId xmlns:a16="http://schemas.microsoft.com/office/drawing/2014/main" id="{4503F969-F7B4-47BB-A467-BE3F1346FB0A}"/>
            </a:ext>
          </a:extLst>
        </xdr:cNvPr>
        <xdr:cNvPicPr>
          <a:picLocks noChangeAspect="1" noChangeArrowheads="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16416" y="1016001"/>
          <a:ext cx="1066800"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17</xdr:col>
      <xdr:colOff>666750</xdr:colOff>
      <xdr:row>7</xdr:row>
      <xdr:rowOff>190500</xdr:rowOff>
    </xdr:from>
    <xdr:to>
      <xdr:col>21</xdr:col>
      <xdr:colOff>35718</xdr:colOff>
      <xdr:row>24</xdr:row>
      <xdr:rowOff>130968</xdr:rowOff>
    </xdr:to>
    <xdr:graphicFrame macro="">
      <xdr:nvGraphicFramePr>
        <xdr:cNvPr id="7" name="Диаграмма 6">
          <a:extLst>
            <a:ext uri="{FF2B5EF4-FFF2-40B4-BE49-F238E27FC236}">
              <a16:creationId xmlns:a16="http://schemas.microsoft.com/office/drawing/2014/main" id="{12AD7EF5-6251-4171-8A88-758650C94F1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1035844</xdr:colOff>
      <xdr:row>2</xdr:row>
      <xdr:rowOff>47625</xdr:rowOff>
    </xdr:from>
    <xdr:to>
      <xdr:col>0</xdr:col>
      <xdr:colOff>1388269</xdr:colOff>
      <xdr:row>2</xdr:row>
      <xdr:rowOff>247650</xdr:rowOff>
    </xdr:to>
    <xdr:pic>
      <xdr:nvPicPr>
        <xdr:cNvPr id="8" name="Рисунок 7">
          <a:extLst>
            <a:ext uri="{FF2B5EF4-FFF2-40B4-BE49-F238E27FC236}">
              <a16:creationId xmlns:a16="http://schemas.microsoft.com/office/drawing/2014/main" id="{95B92017-8906-4105-8155-B075FC8C1A01}"/>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035844" y="428625"/>
          <a:ext cx="352425"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762000</xdr:colOff>
      <xdr:row>3</xdr:row>
      <xdr:rowOff>59531</xdr:rowOff>
    </xdr:from>
    <xdr:to>
      <xdr:col>0</xdr:col>
      <xdr:colOff>1752600</xdr:colOff>
      <xdr:row>3</xdr:row>
      <xdr:rowOff>259556</xdr:rowOff>
    </xdr:to>
    <xdr:pic>
      <xdr:nvPicPr>
        <xdr:cNvPr id="9" name="Рисунок 8">
          <a:extLst>
            <a:ext uri="{FF2B5EF4-FFF2-40B4-BE49-F238E27FC236}">
              <a16:creationId xmlns:a16="http://schemas.microsoft.com/office/drawing/2014/main" id="{642233A4-8220-45C4-A459-10637FECE5B6}"/>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62000" y="773906"/>
          <a:ext cx="990600"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59531</xdr:colOff>
      <xdr:row>4</xdr:row>
      <xdr:rowOff>95250</xdr:rowOff>
    </xdr:from>
    <xdr:to>
      <xdr:col>0</xdr:col>
      <xdr:colOff>2343150</xdr:colOff>
      <xdr:row>4</xdr:row>
      <xdr:rowOff>295275</xdr:rowOff>
    </xdr:to>
    <xdr:pic>
      <xdr:nvPicPr>
        <xdr:cNvPr id="10" name="Рисунок 9">
          <a:extLst>
            <a:ext uri="{FF2B5EF4-FFF2-40B4-BE49-F238E27FC236}">
              <a16:creationId xmlns:a16="http://schemas.microsoft.com/office/drawing/2014/main" id="{A23AF6CC-67A4-4527-81E1-610D8DBFC449}"/>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9531" y="1131094"/>
          <a:ext cx="2283619"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750094</xdr:colOff>
      <xdr:row>5</xdr:row>
      <xdr:rowOff>71438</xdr:rowOff>
    </xdr:from>
    <xdr:to>
      <xdr:col>0</xdr:col>
      <xdr:colOff>1816894</xdr:colOff>
      <xdr:row>5</xdr:row>
      <xdr:rowOff>271463</xdr:rowOff>
    </xdr:to>
    <xdr:pic>
      <xdr:nvPicPr>
        <xdr:cNvPr id="12" name="Рисунок 11">
          <a:extLst>
            <a:ext uri="{FF2B5EF4-FFF2-40B4-BE49-F238E27FC236}">
              <a16:creationId xmlns:a16="http://schemas.microsoft.com/office/drawing/2014/main" id="{CB99EC6B-0922-4E97-ACCE-F5DC779B0919}"/>
            </a:ext>
          </a:extLst>
        </xdr:cNvPr>
        <xdr:cNvPicPr>
          <a:picLocks noChangeAspect="1" noChangeArrowheads="1"/>
        </xdr:cNvPicPr>
      </xdr:nvPicPr>
      <xdr:blipFill>
        <a:blip xmlns:r="http://schemas.openxmlformats.org/officeDocument/2006/relationships" r:embed="rId5">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50094" y="1512094"/>
          <a:ext cx="1066800"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257175</xdr:colOff>
      <xdr:row>6</xdr:row>
      <xdr:rowOff>0</xdr:rowOff>
    </xdr:from>
    <xdr:to>
      <xdr:col>0</xdr:col>
      <xdr:colOff>428625</xdr:colOff>
      <xdr:row>8</xdr:row>
      <xdr:rowOff>0</xdr:rowOff>
    </xdr:to>
    <xdr:pic>
      <xdr:nvPicPr>
        <xdr:cNvPr id="2" name="Рисунок 1">
          <a:extLst>
            <a:ext uri="{FF2B5EF4-FFF2-40B4-BE49-F238E27FC236}">
              <a16:creationId xmlns:a16="http://schemas.microsoft.com/office/drawing/2014/main" id="{0041E906-A86B-4652-8529-854248E0D4F2}"/>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57175" y="1447800"/>
          <a:ext cx="171450"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200025</xdr:colOff>
      <xdr:row>0</xdr:row>
      <xdr:rowOff>285750</xdr:rowOff>
    </xdr:from>
    <xdr:to>
      <xdr:col>0</xdr:col>
      <xdr:colOff>485775</xdr:colOff>
      <xdr:row>1</xdr:row>
      <xdr:rowOff>295275</xdr:rowOff>
    </xdr:to>
    <xdr:pic>
      <xdr:nvPicPr>
        <xdr:cNvPr id="3" name="Рисунок 2">
          <a:extLst>
            <a:ext uri="{FF2B5EF4-FFF2-40B4-BE49-F238E27FC236}">
              <a16:creationId xmlns:a16="http://schemas.microsoft.com/office/drawing/2014/main" id="{D991F4F0-0679-48BF-9ACD-8D00C20B0C7B}"/>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00025" y="285750"/>
          <a:ext cx="28575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219075</xdr:colOff>
      <xdr:row>7</xdr:row>
      <xdr:rowOff>104775</xdr:rowOff>
    </xdr:from>
    <xdr:to>
      <xdr:col>0</xdr:col>
      <xdr:colOff>466725</xdr:colOff>
      <xdr:row>8</xdr:row>
      <xdr:rowOff>295275</xdr:rowOff>
    </xdr:to>
    <xdr:pic>
      <xdr:nvPicPr>
        <xdr:cNvPr id="5" name="Рисунок 4">
          <a:extLst>
            <a:ext uri="{FF2B5EF4-FFF2-40B4-BE49-F238E27FC236}">
              <a16:creationId xmlns:a16="http://schemas.microsoft.com/office/drawing/2014/main" id="{77C8B89B-494B-4014-9CDF-072F0634D1CB}"/>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19075" y="1733550"/>
          <a:ext cx="24765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266700</xdr:colOff>
      <xdr:row>8</xdr:row>
      <xdr:rowOff>285750</xdr:rowOff>
    </xdr:from>
    <xdr:to>
      <xdr:col>0</xdr:col>
      <xdr:colOff>438150</xdr:colOff>
      <xdr:row>9</xdr:row>
      <xdr:rowOff>285750</xdr:rowOff>
    </xdr:to>
    <xdr:pic>
      <xdr:nvPicPr>
        <xdr:cNvPr id="6" name="Рисунок 5">
          <a:extLst>
            <a:ext uri="{FF2B5EF4-FFF2-40B4-BE49-F238E27FC236}">
              <a16:creationId xmlns:a16="http://schemas.microsoft.com/office/drawing/2014/main" id="{D1D497CA-FC7A-46B4-BB96-78D4228ECED8}"/>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66700" y="2095500"/>
          <a:ext cx="171450"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180975</xdr:colOff>
      <xdr:row>9</xdr:row>
      <xdr:rowOff>295275</xdr:rowOff>
    </xdr:from>
    <xdr:to>
      <xdr:col>0</xdr:col>
      <xdr:colOff>523875</xdr:colOff>
      <xdr:row>10</xdr:row>
      <xdr:rowOff>304800</xdr:rowOff>
    </xdr:to>
    <xdr:pic>
      <xdr:nvPicPr>
        <xdr:cNvPr id="7" name="Рисунок 6">
          <a:extLst>
            <a:ext uri="{FF2B5EF4-FFF2-40B4-BE49-F238E27FC236}">
              <a16:creationId xmlns:a16="http://schemas.microsoft.com/office/drawing/2014/main" id="{1EAAB25C-1F16-40AD-973B-2A64D9D481C7}"/>
            </a:ext>
          </a:extLst>
        </xdr:cNvPr>
        <xdr:cNvPicPr>
          <a:picLocks noChangeAspect="1" noChangeArrowheads="1"/>
        </xdr:cNvPicPr>
      </xdr:nvPicPr>
      <xdr:blipFill>
        <a:blip xmlns:r="http://schemas.openxmlformats.org/officeDocument/2006/relationships" r:embed="rId5">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80975" y="2466975"/>
          <a:ext cx="34290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238125</xdr:colOff>
      <xdr:row>11</xdr:row>
      <xdr:rowOff>39414</xdr:rowOff>
    </xdr:from>
    <xdr:to>
      <xdr:col>0</xdr:col>
      <xdr:colOff>466725</xdr:colOff>
      <xdr:row>13</xdr:row>
      <xdr:rowOff>19050</xdr:rowOff>
    </xdr:to>
    <xdr:pic>
      <xdr:nvPicPr>
        <xdr:cNvPr id="8" name="Рисунок 7">
          <a:extLst>
            <a:ext uri="{FF2B5EF4-FFF2-40B4-BE49-F238E27FC236}">
              <a16:creationId xmlns:a16="http://schemas.microsoft.com/office/drawing/2014/main" id="{91017C17-24C7-415E-A8F4-204EE89189E1}"/>
            </a:ext>
          </a:extLst>
        </xdr:cNvPr>
        <xdr:cNvPicPr>
          <a:picLocks noChangeAspect="1" noChangeArrowheads="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38125" y="2896914"/>
          <a:ext cx="228600" cy="36063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250277</xdr:colOff>
      <xdr:row>12</xdr:row>
      <xdr:rowOff>4270</xdr:rowOff>
    </xdr:from>
    <xdr:to>
      <xdr:col>0</xdr:col>
      <xdr:colOff>476249</xdr:colOff>
      <xdr:row>14</xdr:row>
      <xdr:rowOff>4270</xdr:rowOff>
    </xdr:to>
    <xdr:pic>
      <xdr:nvPicPr>
        <xdr:cNvPr id="10" name="Рисунок 9">
          <a:extLst>
            <a:ext uri="{FF2B5EF4-FFF2-40B4-BE49-F238E27FC236}">
              <a16:creationId xmlns:a16="http://schemas.microsoft.com/office/drawing/2014/main" id="{86CDD578-CD65-4222-97E7-3A4473BBF835}"/>
            </a:ext>
          </a:extLst>
        </xdr:cNvPr>
        <xdr:cNvPicPr>
          <a:picLocks noChangeAspect="1" noChangeArrowheads="1"/>
        </xdr:cNvPicPr>
      </xdr:nvPicPr>
      <xdr:blipFill>
        <a:blip xmlns:r="http://schemas.openxmlformats.org/officeDocument/2006/relationships" r:embed="rId7">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50277" y="3052270"/>
          <a:ext cx="225972"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247650</xdr:colOff>
      <xdr:row>13</xdr:row>
      <xdr:rowOff>123825</xdr:rowOff>
    </xdr:from>
    <xdr:to>
      <xdr:col>0</xdr:col>
      <xdr:colOff>485775</xdr:colOff>
      <xdr:row>14</xdr:row>
      <xdr:rowOff>304800</xdr:rowOff>
    </xdr:to>
    <xdr:pic>
      <xdr:nvPicPr>
        <xdr:cNvPr id="11" name="Рисунок 10">
          <a:extLst>
            <a:ext uri="{FF2B5EF4-FFF2-40B4-BE49-F238E27FC236}">
              <a16:creationId xmlns:a16="http://schemas.microsoft.com/office/drawing/2014/main" id="{E6165D57-8F6E-453E-97BB-F76E9395B55B}"/>
            </a:ext>
          </a:extLst>
        </xdr:cNvPr>
        <xdr:cNvPicPr>
          <a:picLocks noChangeAspect="1" noChangeArrowheads="1"/>
        </xdr:cNvPicPr>
      </xdr:nvPicPr>
      <xdr:blipFill>
        <a:blip xmlns:r="http://schemas.openxmlformats.org/officeDocument/2006/relationships" r:embed="rId8">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47650" y="3562350"/>
          <a:ext cx="238125"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238125</xdr:colOff>
      <xdr:row>14</xdr:row>
      <xdr:rowOff>276225</xdr:rowOff>
    </xdr:from>
    <xdr:to>
      <xdr:col>0</xdr:col>
      <xdr:colOff>476250</xdr:colOff>
      <xdr:row>15</xdr:row>
      <xdr:rowOff>276225</xdr:rowOff>
    </xdr:to>
    <xdr:pic>
      <xdr:nvPicPr>
        <xdr:cNvPr id="12" name="Рисунок 11">
          <a:extLst>
            <a:ext uri="{FF2B5EF4-FFF2-40B4-BE49-F238E27FC236}">
              <a16:creationId xmlns:a16="http://schemas.microsoft.com/office/drawing/2014/main" id="{F9DDDB13-3120-440C-A0D8-D7F19CB9F792}"/>
            </a:ext>
          </a:extLst>
        </xdr:cNvPr>
        <xdr:cNvPicPr>
          <a:picLocks noChangeAspect="1" noChangeArrowheads="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38125" y="3895725"/>
          <a:ext cx="238125"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228600</xdr:colOff>
      <xdr:row>16</xdr:row>
      <xdr:rowOff>200025</xdr:rowOff>
    </xdr:from>
    <xdr:to>
      <xdr:col>0</xdr:col>
      <xdr:colOff>533400</xdr:colOff>
      <xdr:row>18</xdr:row>
      <xdr:rowOff>0</xdr:rowOff>
    </xdr:to>
    <xdr:pic>
      <xdr:nvPicPr>
        <xdr:cNvPr id="13" name="Рисунок 12">
          <a:extLst>
            <a:ext uri="{FF2B5EF4-FFF2-40B4-BE49-F238E27FC236}">
              <a16:creationId xmlns:a16="http://schemas.microsoft.com/office/drawing/2014/main" id="{38CE6502-CB82-4F58-9564-E7ABFD53C005}"/>
            </a:ext>
          </a:extLst>
        </xdr:cNvPr>
        <xdr:cNvPicPr>
          <a:picLocks noChangeAspect="1" noChangeArrowheads="1"/>
        </xdr:cNvPicPr>
      </xdr:nvPicPr>
      <xdr:blipFill>
        <a:blip xmlns:r="http://schemas.openxmlformats.org/officeDocument/2006/relationships" r:embed="rId10">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28600" y="4543425"/>
          <a:ext cx="30480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247650</xdr:colOff>
      <xdr:row>17</xdr:row>
      <xdr:rowOff>57150</xdr:rowOff>
    </xdr:from>
    <xdr:to>
      <xdr:col>0</xdr:col>
      <xdr:colOff>552450</xdr:colOff>
      <xdr:row>19</xdr:row>
      <xdr:rowOff>9525</xdr:rowOff>
    </xdr:to>
    <xdr:pic>
      <xdr:nvPicPr>
        <xdr:cNvPr id="14" name="Рисунок 13">
          <a:extLst>
            <a:ext uri="{FF2B5EF4-FFF2-40B4-BE49-F238E27FC236}">
              <a16:creationId xmlns:a16="http://schemas.microsoft.com/office/drawing/2014/main" id="{A44DDA89-6C15-42FD-8725-D85B12F343F7}"/>
            </a:ext>
          </a:extLst>
        </xdr:cNvPr>
        <xdr:cNvPicPr>
          <a:picLocks noChangeAspect="1" noChangeArrowheads="1"/>
        </xdr:cNvPicPr>
      </xdr:nvPicPr>
      <xdr:blipFill>
        <a:blip xmlns:r="http://schemas.openxmlformats.org/officeDocument/2006/relationships" r:embed="rId1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47650" y="4762500"/>
          <a:ext cx="30480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333375</xdr:colOff>
      <xdr:row>1</xdr:row>
      <xdr:rowOff>371475</xdr:rowOff>
    </xdr:from>
    <xdr:to>
      <xdr:col>20</xdr:col>
      <xdr:colOff>457200</xdr:colOff>
      <xdr:row>2</xdr:row>
      <xdr:rowOff>171450</xdr:rowOff>
    </xdr:to>
    <xdr:pic>
      <xdr:nvPicPr>
        <xdr:cNvPr id="16" name="Рисунок 15">
          <a:extLst>
            <a:ext uri="{FF2B5EF4-FFF2-40B4-BE49-F238E27FC236}">
              <a16:creationId xmlns:a16="http://schemas.microsoft.com/office/drawing/2014/main" id="{8097208B-4C5D-432C-8884-A81843426526}"/>
            </a:ext>
          </a:extLst>
        </xdr:cNvPr>
        <xdr:cNvPicPr>
          <a:picLocks noChangeAspect="1" noChangeArrowheads="1"/>
        </xdr:cNvPicPr>
      </xdr:nvPicPr>
      <xdr:blipFill>
        <a:blip xmlns:r="http://schemas.openxmlformats.org/officeDocument/2006/relationships" r:embed="rId1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697450" y="752475"/>
          <a:ext cx="123825"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295275</xdr:colOff>
      <xdr:row>2</xdr:row>
      <xdr:rowOff>180975</xdr:rowOff>
    </xdr:from>
    <xdr:to>
      <xdr:col>20</xdr:col>
      <xdr:colOff>504825</xdr:colOff>
      <xdr:row>3</xdr:row>
      <xdr:rowOff>171450</xdr:rowOff>
    </xdr:to>
    <xdr:pic>
      <xdr:nvPicPr>
        <xdr:cNvPr id="17" name="Рисунок 16">
          <a:extLst>
            <a:ext uri="{FF2B5EF4-FFF2-40B4-BE49-F238E27FC236}">
              <a16:creationId xmlns:a16="http://schemas.microsoft.com/office/drawing/2014/main" id="{ED0F4A50-FC51-4FD4-A62E-067CAD3CB3E2}"/>
            </a:ext>
          </a:extLst>
        </xdr:cNvPr>
        <xdr:cNvPicPr>
          <a:picLocks noChangeAspect="1" noChangeArrowheads="1"/>
        </xdr:cNvPicPr>
      </xdr:nvPicPr>
      <xdr:blipFill>
        <a:blip xmlns:r="http://schemas.openxmlformats.org/officeDocument/2006/relationships" r:embed="rId1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659350" y="942975"/>
          <a:ext cx="20955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20</xdr:col>
      <xdr:colOff>285750</xdr:colOff>
      <xdr:row>3</xdr:row>
      <xdr:rowOff>180975</xdr:rowOff>
    </xdr:from>
    <xdr:to>
      <xdr:col>20</xdr:col>
      <xdr:colOff>514350</xdr:colOff>
      <xdr:row>4</xdr:row>
      <xdr:rowOff>171450</xdr:rowOff>
    </xdr:to>
    <xdr:pic>
      <xdr:nvPicPr>
        <xdr:cNvPr id="18" name="Рисунок 17">
          <a:extLst>
            <a:ext uri="{FF2B5EF4-FFF2-40B4-BE49-F238E27FC236}">
              <a16:creationId xmlns:a16="http://schemas.microsoft.com/office/drawing/2014/main" id="{7D802E6A-47CC-4794-AAA5-74B24EE2A30C}"/>
            </a:ext>
          </a:extLst>
        </xdr:cNvPr>
        <xdr:cNvPicPr>
          <a:picLocks noChangeAspect="1" noChangeArrowheads="1"/>
        </xdr:cNvPicPr>
      </xdr:nvPicPr>
      <xdr:blipFill>
        <a:blip xmlns:r="http://schemas.openxmlformats.org/officeDocument/2006/relationships" r:embed="rId1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649825" y="1133475"/>
          <a:ext cx="228600"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238125</xdr:colOff>
      <xdr:row>4</xdr:row>
      <xdr:rowOff>180975</xdr:rowOff>
    </xdr:from>
    <xdr:to>
      <xdr:col>0</xdr:col>
      <xdr:colOff>476250</xdr:colOff>
      <xdr:row>5</xdr:row>
      <xdr:rowOff>171450</xdr:rowOff>
    </xdr:to>
    <xdr:pic>
      <xdr:nvPicPr>
        <xdr:cNvPr id="19" name="Рисунок 18">
          <a:extLst>
            <a:ext uri="{FF2B5EF4-FFF2-40B4-BE49-F238E27FC236}">
              <a16:creationId xmlns:a16="http://schemas.microsoft.com/office/drawing/2014/main" id="{CEF92D20-982C-4342-843F-89C5EB27A9A7}"/>
            </a:ext>
          </a:extLst>
        </xdr:cNvPr>
        <xdr:cNvPicPr>
          <a:picLocks noChangeAspect="1" noChangeArrowheads="1"/>
        </xdr:cNvPicPr>
      </xdr:nvPicPr>
      <xdr:blipFill>
        <a:blip xmlns:r="http://schemas.openxmlformats.org/officeDocument/2006/relationships" r:embed="rId15">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38125" y="1323975"/>
          <a:ext cx="238125"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238125</xdr:colOff>
      <xdr:row>3</xdr:row>
      <xdr:rowOff>171450</xdr:rowOff>
    </xdr:from>
    <xdr:to>
      <xdr:col>0</xdr:col>
      <xdr:colOff>476250</xdr:colOff>
      <xdr:row>4</xdr:row>
      <xdr:rowOff>161925</xdr:rowOff>
    </xdr:to>
    <xdr:pic>
      <xdr:nvPicPr>
        <xdr:cNvPr id="20" name="Рисунок 19">
          <a:extLst>
            <a:ext uri="{FF2B5EF4-FFF2-40B4-BE49-F238E27FC236}">
              <a16:creationId xmlns:a16="http://schemas.microsoft.com/office/drawing/2014/main" id="{436630E5-7407-42BF-AEAF-CF039D02C4C7}"/>
            </a:ext>
          </a:extLst>
        </xdr:cNvPr>
        <xdr:cNvPicPr>
          <a:picLocks noChangeAspect="1" noChangeArrowheads="1"/>
        </xdr:cNvPicPr>
      </xdr:nvPicPr>
      <xdr:blipFill>
        <a:blip xmlns:r="http://schemas.openxmlformats.org/officeDocument/2006/relationships" r:embed="rId1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38125" y="1123950"/>
          <a:ext cx="238125" cy="1809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219075</xdr:colOff>
      <xdr:row>2</xdr:row>
      <xdr:rowOff>161925</xdr:rowOff>
    </xdr:from>
    <xdr:to>
      <xdr:col>0</xdr:col>
      <xdr:colOff>485775</xdr:colOff>
      <xdr:row>3</xdr:row>
      <xdr:rowOff>161925</xdr:rowOff>
    </xdr:to>
    <xdr:pic>
      <xdr:nvPicPr>
        <xdr:cNvPr id="21" name="Рисунок 20">
          <a:extLst>
            <a:ext uri="{FF2B5EF4-FFF2-40B4-BE49-F238E27FC236}">
              <a16:creationId xmlns:a16="http://schemas.microsoft.com/office/drawing/2014/main" id="{19317F9D-ADC0-4CAD-BFE2-BC43A1009705}"/>
            </a:ext>
          </a:extLst>
        </xdr:cNvPr>
        <xdr:cNvPicPr>
          <a:picLocks noChangeAspect="1" noChangeArrowheads="1"/>
        </xdr:cNvPicPr>
      </xdr:nvPicPr>
      <xdr:blipFill>
        <a:blip xmlns:r="http://schemas.openxmlformats.org/officeDocument/2006/relationships" r:embed="rId17">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19075" y="923925"/>
          <a:ext cx="266700" cy="190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20</xdr:col>
      <xdr:colOff>352425</xdr:colOff>
      <xdr:row>8</xdr:row>
      <xdr:rowOff>85725</xdr:rowOff>
    </xdr:from>
    <xdr:ext cx="4948389" cy="4948389"/>
    <xdr:pic>
      <xdr:nvPicPr>
        <xdr:cNvPr id="9" name="Рисунок 8">
          <a:extLst>
            <a:ext uri="{FF2B5EF4-FFF2-40B4-BE49-F238E27FC236}">
              <a16:creationId xmlns:a16="http://schemas.microsoft.com/office/drawing/2014/main" id="{CBB6B7ED-BF57-44ED-99D7-B99DFBD542A2}"/>
            </a:ext>
          </a:extLst>
        </xdr:cNvPr>
        <xdr:cNvPicPr>
          <a:picLocks noChangeAspect="1"/>
        </xdr:cNvPicPr>
      </xdr:nvPicPr>
      <xdr:blipFill>
        <a:blip xmlns:r="http://schemas.openxmlformats.org/officeDocument/2006/relationships" r:embed="rId18">
          <a:extLst>
            <a:ext uri="{28A0092B-C50C-407E-A947-70E740481C1C}">
              <a14:useLocalDpi xmlns:a14="http://schemas.microsoft.com/office/drawing/2010/main" val="0"/>
            </a:ext>
          </a:extLst>
        </a:blip>
        <a:stretch>
          <a:fillRect/>
        </a:stretch>
      </xdr:blipFill>
      <xdr:spPr bwMode="auto">
        <a:xfrm>
          <a:off x="17716500" y="1990725"/>
          <a:ext cx="4948389" cy="4948389"/>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xdr:from>
      <xdr:col>0</xdr:col>
      <xdr:colOff>285189</xdr:colOff>
      <xdr:row>47</xdr:row>
      <xdr:rowOff>133350</xdr:rowOff>
    </xdr:from>
    <xdr:to>
      <xdr:col>0</xdr:col>
      <xdr:colOff>1104339</xdr:colOff>
      <xdr:row>48</xdr:row>
      <xdr:rowOff>314324</xdr:rowOff>
    </xdr:to>
    <xdr:pic>
      <xdr:nvPicPr>
        <xdr:cNvPr id="6" name="Рисунок 5">
          <a:extLst>
            <a:ext uri="{FF2B5EF4-FFF2-40B4-BE49-F238E27FC236}">
              <a16:creationId xmlns:a16="http://schemas.microsoft.com/office/drawing/2014/main" id="{58D12B32-8161-43FE-A776-5C6FF211E35D}"/>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85189" y="12563475"/>
          <a:ext cx="819150" cy="3905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361950</xdr:colOff>
      <xdr:row>5</xdr:row>
      <xdr:rowOff>219075</xdr:rowOff>
    </xdr:from>
    <xdr:to>
      <xdr:col>0</xdr:col>
      <xdr:colOff>790575</xdr:colOff>
      <xdr:row>7</xdr:row>
      <xdr:rowOff>0</xdr:rowOff>
    </xdr:to>
    <xdr:pic>
      <xdr:nvPicPr>
        <xdr:cNvPr id="11" name="Рисунок 10">
          <a:extLst>
            <a:ext uri="{FF2B5EF4-FFF2-40B4-BE49-F238E27FC236}">
              <a16:creationId xmlns:a16="http://schemas.microsoft.com/office/drawing/2014/main" id="{375A55DE-76EF-4201-B335-D503174DD956}"/>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61950" y="1990725"/>
          <a:ext cx="428625"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304800</xdr:colOff>
      <xdr:row>10</xdr:row>
      <xdr:rowOff>0</xdr:rowOff>
    </xdr:from>
    <xdr:to>
      <xdr:col>0</xdr:col>
      <xdr:colOff>781050</xdr:colOff>
      <xdr:row>10</xdr:row>
      <xdr:rowOff>314325</xdr:rowOff>
    </xdr:to>
    <xdr:pic>
      <xdr:nvPicPr>
        <xdr:cNvPr id="13" name="Рисунок 12">
          <a:extLst>
            <a:ext uri="{FF2B5EF4-FFF2-40B4-BE49-F238E27FC236}">
              <a16:creationId xmlns:a16="http://schemas.microsoft.com/office/drawing/2014/main" id="{455D008F-EC52-4ED6-90EC-72F707451E43}"/>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04800" y="2895600"/>
          <a:ext cx="47625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190500</xdr:colOff>
      <xdr:row>10</xdr:row>
      <xdr:rowOff>200025</xdr:rowOff>
    </xdr:from>
    <xdr:to>
      <xdr:col>0</xdr:col>
      <xdr:colOff>971550</xdr:colOff>
      <xdr:row>12</xdr:row>
      <xdr:rowOff>0</xdr:rowOff>
    </xdr:to>
    <xdr:pic>
      <xdr:nvPicPr>
        <xdr:cNvPr id="14" name="Рисунок 13">
          <a:extLst>
            <a:ext uri="{FF2B5EF4-FFF2-40B4-BE49-F238E27FC236}">
              <a16:creationId xmlns:a16="http://schemas.microsoft.com/office/drawing/2014/main" id="{06421BC2-BD42-42D8-816B-304D71119D2B}"/>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90500" y="3152775"/>
          <a:ext cx="781050" cy="390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219075</xdr:colOff>
      <xdr:row>11</xdr:row>
      <xdr:rowOff>47625</xdr:rowOff>
    </xdr:from>
    <xdr:to>
      <xdr:col>0</xdr:col>
      <xdr:colOff>847725</xdr:colOff>
      <xdr:row>13</xdr:row>
      <xdr:rowOff>0</xdr:rowOff>
    </xdr:to>
    <xdr:pic>
      <xdr:nvPicPr>
        <xdr:cNvPr id="18" name="Рисунок 17">
          <a:extLst>
            <a:ext uri="{FF2B5EF4-FFF2-40B4-BE49-F238E27FC236}">
              <a16:creationId xmlns:a16="http://schemas.microsoft.com/office/drawing/2014/main" id="{2CAEB36C-CE77-4F02-9CD0-03B8CFFE8B96}"/>
            </a:ext>
          </a:extLst>
        </xdr:cNvPr>
        <xdr:cNvPicPr>
          <a:picLocks noChangeAspect="1" noChangeArrowheads="1"/>
        </xdr:cNvPicPr>
      </xdr:nvPicPr>
      <xdr:blipFill>
        <a:blip xmlns:r="http://schemas.openxmlformats.org/officeDocument/2006/relationships" r:embed="rId5">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19075" y="3381375"/>
          <a:ext cx="62865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295275</xdr:colOff>
      <xdr:row>6</xdr:row>
      <xdr:rowOff>57150</xdr:rowOff>
    </xdr:from>
    <xdr:to>
      <xdr:col>0</xdr:col>
      <xdr:colOff>962025</xdr:colOff>
      <xdr:row>8</xdr:row>
      <xdr:rowOff>9525</xdr:rowOff>
    </xdr:to>
    <xdr:pic>
      <xdr:nvPicPr>
        <xdr:cNvPr id="19" name="Рисунок 18">
          <a:extLst>
            <a:ext uri="{FF2B5EF4-FFF2-40B4-BE49-F238E27FC236}">
              <a16:creationId xmlns:a16="http://schemas.microsoft.com/office/drawing/2014/main" id="{1F8C1DB2-F018-4490-A26D-5EF649E9F765}"/>
            </a:ext>
          </a:extLst>
        </xdr:cNvPr>
        <xdr:cNvPicPr>
          <a:picLocks noChangeAspect="1" noChangeArrowheads="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95275" y="2209800"/>
          <a:ext cx="66675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171450</xdr:colOff>
      <xdr:row>15</xdr:row>
      <xdr:rowOff>180975</xdr:rowOff>
    </xdr:from>
    <xdr:to>
      <xdr:col>0</xdr:col>
      <xdr:colOff>1352550</xdr:colOff>
      <xdr:row>16</xdr:row>
      <xdr:rowOff>361949</xdr:rowOff>
    </xdr:to>
    <xdr:pic>
      <xdr:nvPicPr>
        <xdr:cNvPr id="22" name="Рисунок 21">
          <a:extLst>
            <a:ext uri="{FF2B5EF4-FFF2-40B4-BE49-F238E27FC236}">
              <a16:creationId xmlns:a16="http://schemas.microsoft.com/office/drawing/2014/main" id="{DB3ABF23-AF74-4F30-9F52-0B908F6920A6}"/>
            </a:ext>
          </a:extLst>
        </xdr:cNvPr>
        <xdr:cNvPicPr>
          <a:picLocks noChangeAspect="1" noChangeArrowheads="1"/>
        </xdr:cNvPicPr>
      </xdr:nvPicPr>
      <xdr:blipFill>
        <a:blip xmlns:r="http://schemas.openxmlformats.org/officeDocument/2006/relationships" r:embed="rId7">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71450" y="4105275"/>
          <a:ext cx="1181100" cy="37147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504825</xdr:colOff>
      <xdr:row>13</xdr:row>
      <xdr:rowOff>142875</xdr:rowOff>
    </xdr:from>
    <xdr:to>
      <xdr:col>0</xdr:col>
      <xdr:colOff>1000125</xdr:colOff>
      <xdr:row>14</xdr:row>
      <xdr:rowOff>323850</xdr:rowOff>
    </xdr:to>
    <xdr:pic>
      <xdr:nvPicPr>
        <xdr:cNvPr id="23" name="Рисунок 22">
          <a:extLst>
            <a:ext uri="{FF2B5EF4-FFF2-40B4-BE49-F238E27FC236}">
              <a16:creationId xmlns:a16="http://schemas.microsoft.com/office/drawing/2014/main" id="{D718F020-B42D-4674-B03A-CABC7D241D06}"/>
            </a:ext>
          </a:extLst>
        </xdr:cNvPr>
        <xdr:cNvPicPr>
          <a:picLocks noChangeAspect="1" noChangeArrowheads="1"/>
        </xdr:cNvPicPr>
      </xdr:nvPicPr>
      <xdr:blipFill>
        <a:blip xmlns:r="http://schemas.openxmlformats.org/officeDocument/2006/relationships" r:embed="rId8">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04825" y="3705225"/>
          <a:ext cx="49530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285750</xdr:colOff>
      <xdr:row>45</xdr:row>
      <xdr:rowOff>57150</xdr:rowOff>
    </xdr:from>
    <xdr:to>
      <xdr:col>0</xdr:col>
      <xdr:colOff>1190625</xdr:colOff>
      <xdr:row>46</xdr:row>
      <xdr:rowOff>238125</xdr:rowOff>
    </xdr:to>
    <xdr:pic>
      <xdr:nvPicPr>
        <xdr:cNvPr id="24" name="Рисунок 23">
          <a:extLst>
            <a:ext uri="{FF2B5EF4-FFF2-40B4-BE49-F238E27FC236}">
              <a16:creationId xmlns:a16="http://schemas.microsoft.com/office/drawing/2014/main" id="{84365BD8-1C74-473F-801B-671826C3EACF}"/>
            </a:ext>
          </a:extLst>
        </xdr:cNvPr>
        <xdr:cNvPicPr>
          <a:picLocks noChangeAspect="1" noChangeArrowheads="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85750" y="12039600"/>
          <a:ext cx="904875"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285750</xdr:colOff>
      <xdr:row>46</xdr:row>
      <xdr:rowOff>104775</xdr:rowOff>
    </xdr:from>
    <xdr:to>
      <xdr:col>0</xdr:col>
      <xdr:colOff>1190625</xdr:colOff>
      <xdr:row>48</xdr:row>
      <xdr:rowOff>9525</xdr:rowOff>
    </xdr:to>
    <xdr:pic>
      <xdr:nvPicPr>
        <xdr:cNvPr id="25" name="Рисунок 24">
          <a:extLst>
            <a:ext uri="{FF2B5EF4-FFF2-40B4-BE49-F238E27FC236}">
              <a16:creationId xmlns:a16="http://schemas.microsoft.com/office/drawing/2014/main" id="{058B3043-0918-4DA5-80C6-F59DF645108C}"/>
            </a:ext>
          </a:extLst>
        </xdr:cNvPr>
        <xdr:cNvPicPr>
          <a:picLocks noChangeAspect="1" noChangeArrowheads="1"/>
        </xdr:cNvPicPr>
      </xdr:nvPicPr>
      <xdr:blipFill>
        <a:blip xmlns:r="http://schemas.openxmlformats.org/officeDocument/2006/relationships" r:embed="rId10">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85750" y="12277725"/>
          <a:ext cx="904875"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161925</xdr:colOff>
      <xdr:row>42</xdr:row>
      <xdr:rowOff>114300</xdr:rowOff>
    </xdr:from>
    <xdr:to>
      <xdr:col>0</xdr:col>
      <xdr:colOff>1343025</xdr:colOff>
      <xdr:row>43</xdr:row>
      <xdr:rowOff>295275</xdr:rowOff>
    </xdr:to>
    <xdr:pic>
      <xdr:nvPicPr>
        <xdr:cNvPr id="26" name="Рисунок 25">
          <a:extLst>
            <a:ext uri="{FF2B5EF4-FFF2-40B4-BE49-F238E27FC236}">
              <a16:creationId xmlns:a16="http://schemas.microsoft.com/office/drawing/2014/main" id="{E1EB07B4-AC6E-40E2-AC41-614AD80A8186}"/>
            </a:ext>
          </a:extLst>
        </xdr:cNvPr>
        <xdr:cNvPicPr>
          <a:picLocks noChangeAspect="1" noChangeArrowheads="1"/>
        </xdr:cNvPicPr>
      </xdr:nvPicPr>
      <xdr:blipFill>
        <a:blip xmlns:r="http://schemas.openxmlformats.org/officeDocument/2006/relationships" r:embed="rId1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61925" y="11334750"/>
          <a:ext cx="118110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561975</xdr:colOff>
      <xdr:row>19</xdr:row>
      <xdr:rowOff>285750</xdr:rowOff>
    </xdr:from>
    <xdr:to>
      <xdr:col>0</xdr:col>
      <xdr:colOff>866775</xdr:colOff>
      <xdr:row>20</xdr:row>
      <xdr:rowOff>276225</xdr:rowOff>
    </xdr:to>
    <xdr:pic>
      <xdr:nvPicPr>
        <xdr:cNvPr id="27" name="Рисунок 26">
          <a:extLst>
            <a:ext uri="{FF2B5EF4-FFF2-40B4-BE49-F238E27FC236}">
              <a16:creationId xmlns:a16="http://schemas.microsoft.com/office/drawing/2014/main" id="{3AC8CF0C-3CBD-4090-AF4A-C0DE1611AEF2}"/>
            </a:ext>
          </a:extLst>
        </xdr:cNvPr>
        <xdr:cNvPicPr>
          <a:picLocks noChangeAspect="1" noChangeArrowheads="1"/>
        </xdr:cNvPicPr>
      </xdr:nvPicPr>
      <xdr:blipFill>
        <a:blip xmlns:r="http://schemas.openxmlformats.org/officeDocument/2006/relationships" r:embed="rId1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61975" y="5181600"/>
          <a:ext cx="30480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609600</xdr:colOff>
      <xdr:row>20</xdr:row>
      <xdr:rowOff>200025</xdr:rowOff>
    </xdr:from>
    <xdr:to>
      <xdr:col>0</xdr:col>
      <xdr:colOff>828675</xdr:colOff>
      <xdr:row>21</xdr:row>
      <xdr:rowOff>180975</xdr:rowOff>
    </xdr:to>
    <xdr:pic>
      <xdr:nvPicPr>
        <xdr:cNvPr id="29" name="Рисунок 28">
          <a:extLst>
            <a:ext uri="{FF2B5EF4-FFF2-40B4-BE49-F238E27FC236}">
              <a16:creationId xmlns:a16="http://schemas.microsoft.com/office/drawing/2014/main" id="{9EADD1C0-7E47-4200-BF7D-B523F40D32FF}"/>
            </a:ext>
          </a:extLst>
        </xdr:cNvPr>
        <xdr:cNvPicPr>
          <a:picLocks noChangeAspect="1" noChangeArrowheads="1"/>
        </xdr:cNvPicPr>
      </xdr:nvPicPr>
      <xdr:blipFill>
        <a:blip xmlns:r="http://schemas.openxmlformats.org/officeDocument/2006/relationships" r:embed="rId1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09600" y="5476875"/>
          <a:ext cx="219075"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438150</xdr:colOff>
      <xdr:row>4</xdr:row>
      <xdr:rowOff>152400</xdr:rowOff>
    </xdr:from>
    <xdr:to>
      <xdr:col>0</xdr:col>
      <xdr:colOff>885825</xdr:colOff>
      <xdr:row>5</xdr:row>
      <xdr:rowOff>295275</xdr:rowOff>
    </xdr:to>
    <xdr:pic>
      <xdr:nvPicPr>
        <xdr:cNvPr id="32" name="Рисунок 31">
          <a:extLst>
            <a:ext uri="{FF2B5EF4-FFF2-40B4-BE49-F238E27FC236}">
              <a16:creationId xmlns:a16="http://schemas.microsoft.com/office/drawing/2014/main" id="{48A68E28-BF6D-4428-B905-880192A2B9DC}"/>
            </a:ext>
          </a:extLst>
        </xdr:cNvPr>
        <xdr:cNvPicPr>
          <a:picLocks noChangeAspect="1" noChangeArrowheads="1"/>
        </xdr:cNvPicPr>
      </xdr:nvPicPr>
      <xdr:blipFill>
        <a:blip xmlns:r="http://schemas.openxmlformats.org/officeDocument/2006/relationships" r:embed="rId1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38150" y="1676400"/>
          <a:ext cx="447675"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495300</xdr:colOff>
      <xdr:row>30</xdr:row>
      <xdr:rowOff>133350</xdr:rowOff>
    </xdr:from>
    <xdr:to>
      <xdr:col>0</xdr:col>
      <xdr:colOff>942975</xdr:colOff>
      <xdr:row>31</xdr:row>
      <xdr:rowOff>295275</xdr:rowOff>
    </xdr:to>
    <xdr:pic>
      <xdr:nvPicPr>
        <xdr:cNvPr id="33" name="Рисунок 32">
          <a:extLst>
            <a:ext uri="{FF2B5EF4-FFF2-40B4-BE49-F238E27FC236}">
              <a16:creationId xmlns:a16="http://schemas.microsoft.com/office/drawing/2014/main" id="{B54C70FF-5419-4A7E-9853-E99735E944AB}"/>
            </a:ext>
          </a:extLst>
        </xdr:cNvPr>
        <xdr:cNvPicPr>
          <a:picLocks noChangeAspect="1" noChangeArrowheads="1"/>
        </xdr:cNvPicPr>
      </xdr:nvPicPr>
      <xdr:blipFill>
        <a:blip xmlns:r="http://schemas.openxmlformats.org/officeDocument/2006/relationships" r:embed="rId15">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95300" y="8229600"/>
          <a:ext cx="447675"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561975</xdr:colOff>
      <xdr:row>23</xdr:row>
      <xdr:rowOff>123825</xdr:rowOff>
    </xdr:from>
    <xdr:to>
      <xdr:col>0</xdr:col>
      <xdr:colOff>1095375</xdr:colOff>
      <xdr:row>25</xdr:row>
      <xdr:rowOff>19050</xdr:rowOff>
    </xdr:to>
    <xdr:pic>
      <xdr:nvPicPr>
        <xdr:cNvPr id="34" name="Рисунок 33">
          <a:extLst>
            <a:ext uri="{FF2B5EF4-FFF2-40B4-BE49-F238E27FC236}">
              <a16:creationId xmlns:a16="http://schemas.microsoft.com/office/drawing/2014/main" id="{9E6DB435-879C-48EF-98CF-12D4EDE495E4}"/>
            </a:ext>
          </a:extLst>
        </xdr:cNvPr>
        <xdr:cNvPicPr>
          <a:picLocks noChangeAspect="1" noChangeArrowheads="1"/>
        </xdr:cNvPicPr>
      </xdr:nvPicPr>
      <xdr:blipFill>
        <a:blip xmlns:r="http://schemas.openxmlformats.org/officeDocument/2006/relationships" r:embed="rId1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61975" y="6562725"/>
          <a:ext cx="533400" cy="352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485775</xdr:colOff>
      <xdr:row>26</xdr:row>
      <xdr:rowOff>142875</xdr:rowOff>
    </xdr:from>
    <xdr:to>
      <xdr:col>0</xdr:col>
      <xdr:colOff>1009650</xdr:colOff>
      <xdr:row>27</xdr:row>
      <xdr:rowOff>323850</xdr:rowOff>
    </xdr:to>
    <xdr:pic>
      <xdr:nvPicPr>
        <xdr:cNvPr id="38" name="Рисунок 37">
          <a:extLst>
            <a:ext uri="{FF2B5EF4-FFF2-40B4-BE49-F238E27FC236}">
              <a16:creationId xmlns:a16="http://schemas.microsoft.com/office/drawing/2014/main" id="{C5BA3308-BF30-47D2-8E3E-A35881C94ED1}"/>
            </a:ext>
          </a:extLst>
        </xdr:cNvPr>
        <xdr:cNvPicPr>
          <a:picLocks noChangeAspect="1" noChangeArrowheads="1"/>
        </xdr:cNvPicPr>
      </xdr:nvPicPr>
      <xdr:blipFill>
        <a:blip xmlns:r="http://schemas.openxmlformats.org/officeDocument/2006/relationships" r:embed="rId17">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85775" y="7058025"/>
          <a:ext cx="523875"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504825</xdr:colOff>
      <xdr:row>27</xdr:row>
      <xdr:rowOff>228600</xdr:rowOff>
    </xdr:from>
    <xdr:to>
      <xdr:col>0</xdr:col>
      <xdr:colOff>1133475</xdr:colOff>
      <xdr:row>29</xdr:row>
      <xdr:rowOff>9525</xdr:rowOff>
    </xdr:to>
    <xdr:pic>
      <xdr:nvPicPr>
        <xdr:cNvPr id="39" name="Рисунок 38">
          <a:extLst>
            <a:ext uri="{FF2B5EF4-FFF2-40B4-BE49-F238E27FC236}">
              <a16:creationId xmlns:a16="http://schemas.microsoft.com/office/drawing/2014/main" id="{7A56026C-CB1B-481A-9CA4-C88259C92B27}"/>
            </a:ext>
          </a:extLst>
        </xdr:cNvPr>
        <xdr:cNvPicPr>
          <a:picLocks noChangeAspect="1" noChangeArrowheads="1"/>
        </xdr:cNvPicPr>
      </xdr:nvPicPr>
      <xdr:blipFill>
        <a:blip xmlns:r="http://schemas.openxmlformats.org/officeDocument/2006/relationships" r:embed="rId18">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04825" y="7334250"/>
          <a:ext cx="62865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485775</xdr:colOff>
      <xdr:row>28</xdr:row>
      <xdr:rowOff>123825</xdr:rowOff>
    </xdr:from>
    <xdr:to>
      <xdr:col>0</xdr:col>
      <xdr:colOff>1009650</xdr:colOff>
      <xdr:row>29</xdr:row>
      <xdr:rowOff>304800</xdr:rowOff>
    </xdr:to>
    <xdr:pic>
      <xdr:nvPicPr>
        <xdr:cNvPr id="40" name="Рисунок 39">
          <a:extLst>
            <a:ext uri="{FF2B5EF4-FFF2-40B4-BE49-F238E27FC236}">
              <a16:creationId xmlns:a16="http://schemas.microsoft.com/office/drawing/2014/main" id="{B946518B-5C2C-4FEB-85E2-4BD4AA555C77}"/>
            </a:ext>
          </a:extLst>
        </xdr:cNvPr>
        <xdr:cNvPicPr>
          <a:picLocks noChangeAspect="1" noChangeArrowheads="1"/>
        </xdr:cNvPicPr>
      </xdr:nvPicPr>
      <xdr:blipFill>
        <a:blip xmlns:r="http://schemas.openxmlformats.org/officeDocument/2006/relationships" r:embed="rId17">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85775" y="7629525"/>
          <a:ext cx="523875"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485775</xdr:colOff>
      <xdr:row>31</xdr:row>
      <xdr:rowOff>314325</xdr:rowOff>
    </xdr:from>
    <xdr:to>
      <xdr:col>0</xdr:col>
      <xdr:colOff>1028700</xdr:colOff>
      <xdr:row>32</xdr:row>
      <xdr:rowOff>304800</xdr:rowOff>
    </xdr:to>
    <xdr:pic>
      <xdr:nvPicPr>
        <xdr:cNvPr id="42" name="Рисунок 41">
          <a:extLst>
            <a:ext uri="{FF2B5EF4-FFF2-40B4-BE49-F238E27FC236}">
              <a16:creationId xmlns:a16="http://schemas.microsoft.com/office/drawing/2014/main" id="{22394C38-9EC6-49BE-9B22-AF01B987911B}"/>
            </a:ext>
          </a:extLst>
        </xdr:cNvPr>
        <xdr:cNvPicPr>
          <a:picLocks noChangeAspect="1" noChangeArrowheads="1"/>
        </xdr:cNvPicPr>
      </xdr:nvPicPr>
      <xdr:blipFill>
        <a:blip xmlns:r="http://schemas.openxmlformats.org/officeDocument/2006/relationships" r:embed="rId19">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85775" y="8620125"/>
          <a:ext cx="542925"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409575</xdr:colOff>
      <xdr:row>33</xdr:row>
      <xdr:rowOff>57150</xdr:rowOff>
    </xdr:from>
    <xdr:to>
      <xdr:col>0</xdr:col>
      <xdr:colOff>1190625</xdr:colOff>
      <xdr:row>35</xdr:row>
      <xdr:rowOff>9525</xdr:rowOff>
    </xdr:to>
    <xdr:pic>
      <xdr:nvPicPr>
        <xdr:cNvPr id="43" name="Рисунок 42">
          <a:extLst>
            <a:ext uri="{FF2B5EF4-FFF2-40B4-BE49-F238E27FC236}">
              <a16:creationId xmlns:a16="http://schemas.microsoft.com/office/drawing/2014/main" id="{9D2C9284-209F-4A9A-94B2-86B313A3A66D}"/>
            </a:ext>
          </a:extLst>
        </xdr:cNvPr>
        <xdr:cNvPicPr>
          <a:picLocks noChangeAspect="1" noChangeArrowheads="1"/>
        </xdr:cNvPicPr>
      </xdr:nvPicPr>
      <xdr:blipFill>
        <a:blip xmlns:r="http://schemas.openxmlformats.org/officeDocument/2006/relationships" r:embed="rId20">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09575" y="9124950"/>
          <a:ext cx="78105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428625</xdr:colOff>
      <xdr:row>32</xdr:row>
      <xdr:rowOff>228600</xdr:rowOff>
    </xdr:from>
    <xdr:to>
      <xdr:col>0</xdr:col>
      <xdr:colOff>1114425</xdr:colOff>
      <xdr:row>34</xdr:row>
      <xdr:rowOff>9525</xdr:rowOff>
    </xdr:to>
    <xdr:pic>
      <xdr:nvPicPr>
        <xdr:cNvPr id="44" name="Рисунок 43">
          <a:extLst>
            <a:ext uri="{FF2B5EF4-FFF2-40B4-BE49-F238E27FC236}">
              <a16:creationId xmlns:a16="http://schemas.microsoft.com/office/drawing/2014/main" id="{2DF9BC19-7D6E-4B5F-ACC6-6A1EDF37384C}"/>
            </a:ext>
          </a:extLst>
        </xdr:cNvPr>
        <xdr:cNvPicPr>
          <a:picLocks noChangeAspect="1" noChangeArrowheads="1"/>
        </xdr:cNvPicPr>
      </xdr:nvPicPr>
      <xdr:blipFill>
        <a:blip xmlns:r="http://schemas.openxmlformats.org/officeDocument/2006/relationships" r:embed="rId2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28625" y="8915400"/>
          <a:ext cx="68580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428625</xdr:colOff>
      <xdr:row>34</xdr:row>
      <xdr:rowOff>161925</xdr:rowOff>
    </xdr:from>
    <xdr:to>
      <xdr:col>0</xdr:col>
      <xdr:colOff>1095375</xdr:colOff>
      <xdr:row>35</xdr:row>
      <xdr:rowOff>323850</xdr:rowOff>
    </xdr:to>
    <xdr:pic>
      <xdr:nvPicPr>
        <xdr:cNvPr id="45" name="Рисунок 44">
          <a:extLst>
            <a:ext uri="{FF2B5EF4-FFF2-40B4-BE49-F238E27FC236}">
              <a16:creationId xmlns:a16="http://schemas.microsoft.com/office/drawing/2014/main" id="{4904DB6C-F9E6-4DAF-BBC8-9782886AAD7D}"/>
            </a:ext>
          </a:extLst>
        </xdr:cNvPr>
        <xdr:cNvPicPr>
          <a:picLocks noChangeAspect="1" noChangeArrowheads="1"/>
        </xdr:cNvPicPr>
      </xdr:nvPicPr>
      <xdr:blipFill>
        <a:blip xmlns:r="http://schemas.openxmlformats.org/officeDocument/2006/relationships" r:embed="rId2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28625" y="9439275"/>
          <a:ext cx="66675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561975</xdr:colOff>
      <xdr:row>36</xdr:row>
      <xdr:rowOff>123825</xdr:rowOff>
    </xdr:from>
    <xdr:to>
      <xdr:col>0</xdr:col>
      <xdr:colOff>1038225</xdr:colOff>
      <xdr:row>37</xdr:row>
      <xdr:rowOff>304800</xdr:rowOff>
    </xdr:to>
    <xdr:pic>
      <xdr:nvPicPr>
        <xdr:cNvPr id="46" name="Рисунок 45">
          <a:extLst>
            <a:ext uri="{FF2B5EF4-FFF2-40B4-BE49-F238E27FC236}">
              <a16:creationId xmlns:a16="http://schemas.microsoft.com/office/drawing/2014/main" id="{9F7142E9-C6A5-4F06-AE62-ED67F27EA0D3}"/>
            </a:ext>
          </a:extLst>
        </xdr:cNvPr>
        <xdr:cNvPicPr>
          <a:picLocks noChangeAspect="1" noChangeArrowheads="1"/>
        </xdr:cNvPicPr>
      </xdr:nvPicPr>
      <xdr:blipFill>
        <a:blip xmlns:r="http://schemas.openxmlformats.org/officeDocument/2006/relationships" r:embed="rId2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61975" y="9991725"/>
          <a:ext cx="47625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428625</xdr:colOff>
      <xdr:row>37</xdr:row>
      <xdr:rowOff>209550</xdr:rowOff>
    </xdr:from>
    <xdr:to>
      <xdr:col>0</xdr:col>
      <xdr:colOff>1209675</xdr:colOff>
      <xdr:row>39</xdr:row>
      <xdr:rowOff>9525</xdr:rowOff>
    </xdr:to>
    <xdr:pic>
      <xdr:nvPicPr>
        <xdr:cNvPr id="47" name="Рисунок 46">
          <a:extLst>
            <a:ext uri="{FF2B5EF4-FFF2-40B4-BE49-F238E27FC236}">
              <a16:creationId xmlns:a16="http://schemas.microsoft.com/office/drawing/2014/main" id="{89194410-7C52-40C0-8C8F-751854CEBCB6}"/>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28625" y="10267950"/>
          <a:ext cx="781050" cy="390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514350</xdr:colOff>
      <xdr:row>38</xdr:row>
      <xdr:rowOff>161925</xdr:rowOff>
    </xdr:from>
    <xdr:to>
      <xdr:col>0</xdr:col>
      <xdr:colOff>1143000</xdr:colOff>
      <xdr:row>39</xdr:row>
      <xdr:rowOff>323850</xdr:rowOff>
    </xdr:to>
    <xdr:pic>
      <xdr:nvPicPr>
        <xdr:cNvPr id="48" name="Рисунок 47">
          <a:extLst>
            <a:ext uri="{FF2B5EF4-FFF2-40B4-BE49-F238E27FC236}">
              <a16:creationId xmlns:a16="http://schemas.microsoft.com/office/drawing/2014/main" id="{D897B63A-1F91-4489-AC3E-87FB68268B24}"/>
            </a:ext>
          </a:extLst>
        </xdr:cNvPr>
        <xdr:cNvPicPr>
          <a:picLocks noChangeAspect="1" noChangeArrowheads="1"/>
        </xdr:cNvPicPr>
      </xdr:nvPicPr>
      <xdr:blipFill>
        <a:blip xmlns:r="http://schemas.openxmlformats.org/officeDocument/2006/relationships" r:embed="rId2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14350" y="10601325"/>
          <a:ext cx="62865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428625</xdr:colOff>
      <xdr:row>3</xdr:row>
      <xdr:rowOff>66675</xdr:rowOff>
    </xdr:from>
    <xdr:to>
      <xdr:col>0</xdr:col>
      <xdr:colOff>809625</xdr:colOff>
      <xdr:row>3</xdr:row>
      <xdr:rowOff>266700</xdr:rowOff>
    </xdr:to>
    <xdr:pic>
      <xdr:nvPicPr>
        <xdr:cNvPr id="49" name="Рисунок 48">
          <a:extLst>
            <a:ext uri="{FF2B5EF4-FFF2-40B4-BE49-F238E27FC236}">
              <a16:creationId xmlns:a16="http://schemas.microsoft.com/office/drawing/2014/main" id="{E5C0B49D-2F0B-4D61-99C7-7BA889872775}"/>
            </a:ext>
          </a:extLst>
        </xdr:cNvPr>
        <xdr:cNvPicPr>
          <a:picLocks noChangeAspect="1" noChangeArrowheads="1"/>
        </xdr:cNvPicPr>
      </xdr:nvPicPr>
      <xdr:blipFill>
        <a:blip xmlns:r="http://schemas.openxmlformats.org/officeDocument/2006/relationships" r:embed="rId25">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28625" y="1057275"/>
          <a:ext cx="381000"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514350</xdr:colOff>
      <xdr:row>2</xdr:row>
      <xdr:rowOff>66675</xdr:rowOff>
    </xdr:from>
    <xdr:to>
      <xdr:col>0</xdr:col>
      <xdr:colOff>762000</xdr:colOff>
      <xdr:row>2</xdr:row>
      <xdr:rowOff>257175</xdr:rowOff>
    </xdr:to>
    <xdr:pic>
      <xdr:nvPicPr>
        <xdr:cNvPr id="50" name="Рисунок 49">
          <a:extLst>
            <a:ext uri="{FF2B5EF4-FFF2-40B4-BE49-F238E27FC236}">
              <a16:creationId xmlns:a16="http://schemas.microsoft.com/office/drawing/2014/main" id="{855C7CE8-476B-4E8D-942D-94929D84FBA6}"/>
            </a:ext>
          </a:extLst>
        </xdr:cNvPr>
        <xdr:cNvPicPr>
          <a:picLocks noChangeAspect="1" noChangeArrowheads="1"/>
        </xdr:cNvPicPr>
      </xdr:nvPicPr>
      <xdr:blipFill>
        <a:blip xmlns:r="http://schemas.openxmlformats.org/officeDocument/2006/relationships" r:embed="rId2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14350" y="828675"/>
          <a:ext cx="247650" cy="190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447675</xdr:colOff>
      <xdr:row>1</xdr:row>
      <xdr:rowOff>76200</xdr:rowOff>
    </xdr:from>
    <xdr:to>
      <xdr:col>0</xdr:col>
      <xdr:colOff>781050</xdr:colOff>
      <xdr:row>1</xdr:row>
      <xdr:rowOff>276225</xdr:rowOff>
    </xdr:to>
    <xdr:pic>
      <xdr:nvPicPr>
        <xdr:cNvPr id="51" name="Рисунок 50">
          <a:extLst>
            <a:ext uri="{FF2B5EF4-FFF2-40B4-BE49-F238E27FC236}">
              <a16:creationId xmlns:a16="http://schemas.microsoft.com/office/drawing/2014/main" id="{A186964B-A943-401F-B108-51B28B911B55}"/>
            </a:ext>
          </a:extLst>
        </xdr:cNvPr>
        <xdr:cNvPicPr>
          <a:picLocks noChangeAspect="1" noChangeArrowheads="1"/>
        </xdr:cNvPicPr>
      </xdr:nvPicPr>
      <xdr:blipFill>
        <a:blip xmlns:r="http://schemas.openxmlformats.org/officeDocument/2006/relationships" r:embed="rId27">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47675" y="457200"/>
          <a:ext cx="333375"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552450</xdr:colOff>
      <xdr:row>22</xdr:row>
      <xdr:rowOff>57150</xdr:rowOff>
    </xdr:from>
    <xdr:to>
      <xdr:col>0</xdr:col>
      <xdr:colOff>933450</xdr:colOff>
      <xdr:row>22</xdr:row>
      <xdr:rowOff>257175</xdr:rowOff>
    </xdr:to>
    <xdr:pic>
      <xdr:nvPicPr>
        <xdr:cNvPr id="52" name="Рисунок 51">
          <a:extLst>
            <a:ext uri="{FF2B5EF4-FFF2-40B4-BE49-F238E27FC236}">
              <a16:creationId xmlns:a16="http://schemas.microsoft.com/office/drawing/2014/main" id="{0938031B-1DBF-40BB-85D8-7161F34441A1}"/>
            </a:ext>
          </a:extLst>
        </xdr:cNvPr>
        <xdr:cNvPicPr>
          <a:picLocks noChangeAspect="1" noChangeArrowheads="1"/>
        </xdr:cNvPicPr>
      </xdr:nvPicPr>
      <xdr:blipFill>
        <a:blip xmlns:r="http://schemas.openxmlformats.org/officeDocument/2006/relationships" r:embed="rId28">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52450" y="5753100"/>
          <a:ext cx="381000"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428625</xdr:colOff>
      <xdr:row>42</xdr:row>
      <xdr:rowOff>9525</xdr:rowOff>
    </xdr:from>
    <xdr:to>
      <xdr:col>0</xdr:col>
      <xdr:colOff>1228725</xdr:colOff>
      <xdr:row>42</xdr:row>
      <xdr:rowOff>171450</xdr:rowOff>
    </xdr:to>
    <xdr:pic>
      <xdr:nvPicPr>
        <xdr:cNvPr id="53" name="Рисунок 52">
          <a:extLst>
            <a:ext uri="{FF2B5EF4-FFF2-40B4-BE49-F238E27FC236}">
              <a16:creationId xmlns:a16="http://schemas.microsoft.com/office/drawing/2014/main" id="{82E0C513-10AA-44EE-A74F-B85B9776B88B}"/>
            </a:ext>
          </a:extLst>
        </xdr:cNvPr>
        <xdr:cNvPicPr>
          <a:picLocks noChangeAspect="1" noChangeArrowheads="1"/>
        </xdr:cNvPicPr>
      </xdr:nvPicPr>
      <xdr:blipFill>
        <a:blip xmlns:r="http://schemas.openxmlformats.org/officeDocument/2006/relationships" r:embed="rId29">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28625" y="11401425"/>
          <a:ext cx="800100"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352425</xdr:colOff>
      <xdr:row>15</xdr:row>
      <xdr:rowOff>9525</xdr:rowOff>
    </xdr:from>
    <xdr:to>
      <xdr:col>0</xdr:col>
      <xdr:colOff>1152525</xdr:colOff>
      <xdr:row>15</xdr:row>
      <xdr:rowOff>171450</xdr:rowOff>
    </xdr:to>
    <xdr:pic>
      <xdr:nvPicPr>
        <xdr:cNvPr id="54" name="Рисунок 53">
          <a:extLst>
            <a:ext uri="{FF2B5EF4-FFF2-40B4-BE49-F238E27FC236}">
              <a16:creationId xmlns:a16="http://schemas.microsoft.com/office/drawing/2014/main" id="{3DFA04F5-FFC7-447F-8887-CFC502969E17}"/>
            </a:ext>
          </a:extLst>
        </xdr:cNvPr>
        <xdr:cNvPicPr>
          <a:picLocks noChangeAspect="1" noChangeArrowheads="1"/>
        </xdr:cNvPicPr>
      </xdr:nvPicPr>
      <xdr:blipFill>
        <a:blip xmlns:r="http://schemas.openxmlformats.org/officeDocument/2006/relationships" r:embed="rId30">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52425" y="3933825"/>
          <a:ext cx="800100"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523875</xdr:colOff>
      <xdr:row>29</xdr:row>
      <xdr:rowOff>266700</xdr:rowOff>
    </xdr:from>
    <xdr:to>
      <xdr:col>0</xdr:col>
      <xdr:colOff>952500</xdr:colOff>
      <xdr:row>30</xdr:row>
      <xdr:rowOff>238125</xdr:rowOff>
    </xdr:to>
    <xdr:pic>
      <xdr:nvPicPr>
        <xdr:cNvPr id="55" name="Рисунок 54">
          <a:extLst>
            <a:ext uri="{FF2B5EF4-FFF2-40B4-BE49-F238E27FC236}">
              <a16:creationId xmlns:a16="http://schemas.microsoft.com/office/drawing/2014/main" id="{70A20BEA-2504-46B1-BE8A-1235491F90E0}"/>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23875" y="8134350"/>
          <a:ext cx="428625"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542925</xdr:colOff>
      <xdr:row>9</xdr:row>
      <xdr:rowOff>9525</xdr:rowOff>
    </xdr:from>
    <xdr:to>
      <xdr:col>0</xdr:col>
      <xdr:colOff>914400</xdr:colOff>
      <xdr:row>9</xdr:row>
      <xdr:rowOff>200025</xdr:rowOff>
    </xdr:to>
    <xdr:pic>
      <xdr:nvPicPr>
        <xdr:cNvPr id="56" name="Рисунок 55">
          <a:extLst>
            <a:ext uri="{FF2B5EF4-FFF2-40B4-BE49-F238E27FC236}">
              <a16:creationId xmlns:a16="http://schemas.microsoft.com/office/drawing/2014/main" id="{C365B79D-99CE-4AC4-99A5-F37F775A882C}"/>
            </a:ext>
          </a:extLst>
        </xdr:cNvPr>
        <xdr:cNvPicPr>
          <a:picLocks noChangeAspect="1" noChangeArrowheads="1"/>
        </xdr:cNvPicPr>
      </xdr:nvPicPr>
      <xdr:blipFill>
        <a:blip xmlns:r="http://schemas.openxmlformats.org/officeDocument/2006/relationships" r:embed="rId3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42925" y="2752725"/>
          <a:ext cx="371475" cy="190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552450</xdr:colOff>
      <xdr:row>25</xdr:row>
      <xdr:rowOff>180975</xdr:rowOff>
    </xdr:from>
    <xdr:to>
      <xdr:col>0</xdr:col>
      <xdr:colOff>1076325</xdr:colOff>
      <xdr:row>26</xdr:row>
      <xdr:rowOff>180975</xdr:rowOff>
    </xdr:to>
    <xdr:pic>
      <xdr:nvPicPr>
        <xdr:cNvPr id="57" name="Рисунок 56">
          <a:extLst>
            <a:ext uri="{FF2B5EF4-FFF2-40B4-BE49-F238E27FC236}">
              <a16:creationId xmlns:a16="http://schemas.microsoft.com/office/drawing/2014/main" id="{49EF09E5-9C47-4514-AAEE-DB1406C14884}"/>
            </a:ext>
          </a:extLst>
        </xdr:cNvPr>
        <xdr:cNvPicPr>
          <a:picLocks noChangeAspect="1" noChangeArrowheads="1"/>
        </xdr:cNvPicPr>
      </xdr:nvPicPr>
      <xdr:blipFill>
        <a:blip xmlns:r="http://schemas.openxmlformats.org/officeDocument/2006/relationships" r:embed="rId3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52450" y="7315200"/>
          <a:ext cx="523875" cy="190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514350</xdr:colOff>
      <xdr:row>22</xdr:row>
      <xdr:rowOff>371475</xdr:rowOff>
    </xdr:from>
    <xdr:to>
      <xdr:col>0</xdr:col>
      <xdr:colOff>933450</xdr:colOff>
      <xdr:row>23</xdr:row>
      <xdr:rowOff>180975</xdr:rowOff>
    </xdr:to>
    <xdr:pic>
      <xdr:nvPicPr>
        <xdr:cNvPr id="58" name="Рисунок 57">
          <a:extLst>
            <a:ext uri="{FF2B5EF4-FFF2-40B4-BE49-F238E27FC236}">
              <a16:creationId xmlns:a16="http://schemas.microsoft.com/office/drawing/2014/main" id="{3D7E7163-CAE8-4CC7-AFF5-688A3A063EDB}"/>
            </a:ext>
          </a:extLst>
        </xdr:cNvPr>
        <xdr:cNvPicPr>
          <a:picLocks noChangeAspect="1" noChangeArrowheads="1"/>
        </xdr:cNvPicPr>
      </xdr:nvPicPr>
      <xdr:blipFill>
        <a:blip xmlns:r="http://schemas.openxmlformats.org/officeDocument/2006/relationships" r:embed="rId3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514350" y="6667500"/>
          <a:ext cx="419100" cy="190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457200</xdr:colOff>
      <xdr:row>4</xdr:row>
      <xdr:rowOff>38100</xdr:rowOff>
    </xdr:from>
    <xdr:to>
      <xdr:col>0</xdr:col>
      <xdr:colOff>876300</xdr:colOff>
      <xdr:row>5</xdr:row>
      <xdr:rowOff>0</xdr:rowOff>
    </xdr:to>
    <xdr:pic>
      <xdr:nvPicPr>
        <xdr:cNvPr id="59" name="Рисунок 58">
          <a:extLst>
            <a:ext uri="{FF2B5EF4-FFF2-40B4-BE49-F238E27FC236}">
              <a16:creationId xmlns:a16="http://schemas.microsoft.com/office/drawing/2014/main" id="{F55C7541-4D82-4A14-90AA-95214C630DA7}"/>
            </a:ext>
          </a:extLst>
        </xdr:cNvPr>
        <xdr:cNvPicPr>
          <a:picLocks noChangeAspect="1" noChangeArrowheads="1"/>
        </xdr:cNvPicPr>
      </xdr:nvPicPr>
      <xdr:blipFill>
        <a:blip xmlns:r="http://schemas.openxmlformats.org/officeDocument/2006/relationships" r:embed="rId3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57200" y="1562100"/>
          <a:ext cx="419100" cy="190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600075</xdr:colOff>
      <xdr:row>40</xdr:row>
      <xdr:rowOff>85725</xdr:rowOff>
    </xdr:from>
    <xdr:to>
      <xdr:col>0</xdr:col>
      <xdr:colOff>1095375</xdr:colOff>
      <xdr:row>40</xdr:row>
      <xdr:rowOff>285750</xdr:rowOff>
    </xdr:to>
    <xdr:pic>
      <xdr:nvPicPr>
        <xdr:cNvPr id="41" name="Рисунок 40">
          <a:extLst>
            <a:ext uri="{FF2B5EF4-FFF2-40B4-BE49-F238E27FC236}">
              <a16:creationId xmlns:a16="http://schemas.microsoft.com/office/drawing/2014/main" id="{1340055E-7011-43AE-82F0-3D84A5417A45}"/>
            </a:ext>
          </a:extLst>
        </xdr:cNvPr>
        <xdr:cNvPicPr>
          <a:picLocks noChangeAspect="1" noChangeArrowheads="1"/>
        </xdr:cNvPicPr>
      </xdr:nvPicPr>
      <xdr:blipFill>
        <a:blip xmlns:r="http://schemas.openxmlformats.org/officeDocument/2006/relationships" r:embed="rId35">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00075" y="11572875"/>
          <a:ext cx="495300"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0</xdr:col>
      <xdr:colOff>342900</xdr:colOff>
      <xdr:row>0</xdr:row>
      <xdr:rowOff>200025</xdr:rowOff>
    </xdr:from>
    <xdr:to>
      <xdr:col>0</xdr:col>
      <xdr:colOff>590550</xdr:colOff>
      <xdr:row>2</xdr:row>
      <xdr:rowOff>0</xdr:rowOff>
    </xdr:to>
    <xdr:pic>
      <xdr:nvPicPr>
        <xdr:cNvPr id="3" name="Рисунок 2">
          <a:extLst>
            <a:ext uri="{FF2B5EF4-FFF2-40B4-BE49-F238E27FC236}">
              <a16:creationId xmlns:a16="http://schemas.microsoft.com/office/drawing/2014/main" id="{6DF8E3A5-54E4-439A-986E-2F22EEDD94DA}"/>
            </a:ext>
          </a:extLst>
        </xdr:cNvPr>
        <xdr:cNvPicPr>
          <a:picLocks noChangeAspect="1" noChangeArrowheads="1"/>
        </xdr:cNvPicPr>
      </xdr:nvPicPr>
      <xdr:blipFill>
        <a:blip xmlns:r="http://schemas.openxmlformats.org/officeDocument/2006/relationships" r:embed="rId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42900" y="200025"/>
          <a:ext cx="24765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381000</xdr:colOff>
      <xdr:row>1</xdr:row>
      <xdr:rowOff>47625</xdr:rowOff>
    </xdr:from>
    <xdr:to>
      <xdr:col>0</xdr:col>
      <xdr:colOff>542925</xdr:colOff>
      <xdr:row>2</xdr:row>
      <xdr:rowOff>200025</xdr:rowOff>
    </xdr:to>
    <xdr:pic>
      <xdr:nvPicPr>
        <xdr:cNvPr id="4" name="Рисунок 3">
          <a:extLst>
            <a:ext uri="{FF2B5EF4-FFF2-40B4-BE49-F238E27FC236}">
              <a16:creationId xmlns:a16="http://schemas.microsoft.com/office/drawing/2014/main" id="{9B0BA9E9-646A-45D2-A75C-C9A5B2E0BCF8}"/>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81000" y="409575"/>
          <a:ext cx="161925"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380999</xdr:colOff>
      <xdr:row>3</xdr:row>
      <xdr:rowOff>28575</xdr:rowOff>
    </xdr:from>
    <xdr:to>
      <xdr:col>0</xdr:col>
      <xdr:colOff>609600</xdr:colOff>
      <xdr:row>5</xdr:row>
      <xdr:rowOff>0</xdr:rowOff>
    </xdr:to>
    <xdr:pic>
      <xdr:nvPicPr>
        <xdr:cNvPr id="5" name="Рисунок 4">
          <a:extLst>
            <a:ext uri="{FF2B5EF4-FFF2-40B4-BE49-F238E27FC236}">
              <a16:creationId xmlns:a16="http://schemas.microsoft.com/office/drawing/2014/main" id="{89357DD3-B6CB-4834-9120-CD789A3E690F}"/>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80999" y="809625"/>
          <a:ext cx="228601" cy="3333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333375</xdr:colOff>
      <xdr:row>7</xdr:row>
      <xdr:rowOff>66675</xdr:rowOff>
    </xdr:from>
    <xdr:to>
      <xdr:col>0</xdr:col>
      <xdr:colOff>676275</xdr:colOff>
      <xdr:row>8</xdr:row>
      <xdr:rowOff>180975</xdr:rowOff>
    </xdr:to>
    <xdr:pic>
      <xdr:nvPicPr>
        <xdr:cNvPr id="6" name="Рисунок 5">
          <a:extLst>
            <a:ext uri="{FF2B5EF4-FFF2-40B4-BE49-F238E27FC236}">
              <a16:creationId xmlns:a16="http://schemas.microsoft.com/office/drawing/2014/main" id="{156CA864-7F91-4CFC-A28B-8EC1BCC08C44}"/>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33375" y="1704975"/>
          <a:ext cx="342900" cy="3048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209550</xdr:colOff>
      <xdr:row>14</xdr:row>
      <xdr:rowOff>57149</xdr:rowOff>
    </xdr:from>
    <xdr:to>
      <xdr:col>0</xdr:col>
      <xdr:colOff>942975</xdr:colOff>
      <xdr:row>16</xdr:row>
      <xdr:rowOff>19050</xdr:rowOff>
    </xdr:to>
    <xdr:pic>
      <xdr:nvPicPr>
        <xdr:cNvPr id="7" name="Рисунок 6">
          <a:extLst>
            <a:ext uri="{FF2B5EF4-FFF2-40B4-BE49-F238E27FC236}">
              <a16:creationId xmlns:a16="http://schemas.microsoft.com/office/drawing/2014/main" id="{7CEA2A8C-D31A-47F0-960D-C5853D5D66FD}"/>
            </a:ext>
          </a:extLst>
        </xdr:cNvPr>
        <xdr:cNvPicPr>
          <a:picLocks noChangeAspect="1" noChangeArrowheads="1"/>
        </xdr:cNvPicPr>
      </xdr:nvPicPr>
      <xdr:blipFill>
        <a:blip xmlns:r="http://schemas.openxmlformats.org/officeDocument/2006/relationships" r:embed="rId5">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09550" y="2876549"/>
          <a:ext cx="733425" cy="3619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295275</xdr:colOff>
      <xdr:row>18</xdr:row>
      <xdr:rowOff>104775</xdr:rowOff>
    </xdr:from>
    <xdr:to>
      <xdr:col>0</xdr:col>
      <xdr:colOff>704850</xdr:colOff>
      <xdr:row>20</xdr:row>
      <xdr:rowOff>0</xdr:rowOff>
    </xdr:to>
    <xdr:pic>
      <xdr:nvPicPr>
        <xdr:cNvPr id="8" name="Рисунок 7">
          <a:extLst>
            <a:ext uri="{FF2B5EF4-FFF2-40B4-BE49-F238E27FC236}">
              <a16:creationId xmlns:a16="http://schemas.microsoft.com/office/drawing/2014/main" id="{DA78FC89-6347-44CD-A03B-7DB1FAA8134C}"/>
            </a:ext>
          </a:extLst>
        </xdr:cNvPr>
        <xdr:cNvPicPr>
          <a:picLocks noChangeAspect="1" noChangeArrowheads="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95275" y="3400425"/>
          <a:ext cx="409575"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285750</xdr:colOff>
      <xdr:row>21</xdr:row>
      <xdr:rowOff>104775</xdr:rowOff>
    </xdr:from>
    <xdr:to>
      <xdr:col>0</xdr:col>
      <xdr:colOff>809625</xdr:colOff>
      <xdr:row>22</xdr:row>
      <xdr:rowOff>285750</xdr:rowOff>
    </xdr:to>
    <xdr:pic>
      <xdr:nvPicPr>
        <xdr:cNvPr id="9" name="Рисунок 8">
          <a:extLst>
            <a:ext uri="{FF2B5EF4-FFF2-40B4-BE49-F238E27FC236}">
              <a16:creationId xmlns:a16="http://schemas.microsoft.com/office/drawing/2014/main" id="{33294362-B3DB-4260-B598-8BD0347E5F2F}"/>
            </a:ext>
          </a:extLst>
        </xdr:cNvPr>
        <xdr:cNvPicPr>
          <a:picLocks noChangeAspect="1" noChangeArrowheads="1"/>
        </xdr:cNvPicPr>
      </xdr:nvPicPr>
      <xdr:blipFill>
        <a:blip xmlns:r="http://schemas.openxmlformats.org/officeDocument/2006/relationships" r:embed="rId7">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85750" y="4362450"/>
          <a:ext cx="523875" cy="361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342901</xdr:colOff>
      <xdr:row>32</xdr:row>
      <xdr:rowOff>38100</xdr:rowOff>
    </xdr:from>
    <xdr:to>
      <xdr:col>0</xdr:col>
      <xdr:colOff>784452</xdr:colOff>
      <xdr:row>34</xdr:row>
      <xdr:rowOff>9525</xdr:rowOff>
    </xdr:to>
    <xdr:pic>
      <xdr:nvPicPr>
        <xdr:cNvPr id="11" name="Рисунок 10">
          <a:extLst>
            <a:ext uri="{FF2B5EF4-FFF2-40B4-BE49-F238E27FC236}">
              <a16:creationId xmlns:a16="http://schemas.microsoft.com/office/drawing/2014/main" id="{A8E2CFBC-F566-4A7F-BB1E-3757C354700A}"/>
            </a:ext>
          </a:extLst>
        </xdr:cNvPr>
        <xdr:cNvPicPr>
          <a:picLocks noChangeAspect="1" noChangeArrowheads="1"/>
        </xdr:cNvPicPr>
      </xdr:nvPicPr>
      <xdr:blipFill>
        <a:blip xmlns:r="http://schemas.openxmlformats.org/officeDocument/2006/relationships" r:embed="rId8">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42901" y="6524625"/>
          <a:ext cx="441551" cy="390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352425</xdr:colOff>
      <xdr:row>34</xdr:row>
      <xdr:rowOff>38100</xdr:rowOff>
    </xdr:from>
    <xdr:to>
      <xdr:col>0</xdr:col>
      <xdr:colOff>762000</xdr:colOff>
      <xdr:row>34</xdr:row>
      <xdr:rowOff>409575</xdr:rowOff>
    </xdr:to>
    <xdr:pic>
      <xdr:nvPicPr>
        <xdr:cNvPr id="12" name="Рисунок 11">
          <a:extLst>
            <a:ext uri="{FF2B5EF4-FFF2-40B4-BE49-F238E27FC236}">
              <a16:creationId xmlns:a16="http://schemas.microsoft.com/office/drawing/2014/main" id="{50D68916-D7CC-43F9-BD8C-3E59A3EDBF35}"/>
            </a:ext>
          </a:extLst>
        </xdr:cNvPr>
        <xdr:cNvPicPr>
          <a:picLocks noChangeAspect="1" noChangeArrowheads="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52425" y="7667625"/>
          <a:ext cx="409575"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142875</xdr:colOff>
      <xdr:row>37</xdr:row>
      <xdr:rowOff>200024</xdr:rowOff>
    </xdr:from>
    <xdr:to>
      <xdr:col>0</xdr:col>
      <xdr:colOff>923925</xdr:colOff>
      <xdr:row>38</xdr:row>
      <xdr:rowOff>228599</xdr:rowOff>
    </xdr:to>
    <xdr:pic>
      <xdr:nvPicPr>
        <xdr:cNvPr id="14" name="Рисунок 13">
          <a:extLst>
            <a:ext uri="{FF2B5EF4-FFF2-40B4-BE49-F238E27FC236}">
              <a16:creationId xmlns:a16="http://schemas.microsoft.com/office/drawing/2014/main" id="{5A7B20BE-F27E-4238-A63E-3775F405BB9B}"/>
            </a:ext>
          </a:extLst>
        </xdr:cNvPr>
        <xdr:cNvPicPr>
          <a:picLocks noChangeAspect="1" noChangeArrowheads="1"/>
        </xdr:cNvPicPr>
      </xdr:nvPicPr>
      <xdr:blipFill>
        <a:blip xmlns:r="http://schemas.openxmlformats.org/officeDocument/2006/relationships" r:embed="rId10">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42875" y="7886699"/>
          <a:ext cx="781050" cy="3905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352425</xdr:colOff>
      <xdr:row>36</xdr:row>
      <xdr:rowOff>85725</xdr:rowOff>
    </xdr:from>
    <xdr:to>
      <xdr:col>0</xdr:col>
      <xdr:colOff>733425</xdr:colOff>
      <xdr:row>37</xdr:row>
      <xdr:rowOff>276225</xdr:rowOff>
    </xdr:to>
    <xdr:pic>
      <xdr:nvPicPr>
        <xdr:cNvPr id="15" name="Рисунок 14">
          <a:extLst>
            <a:ext uri="{FF2B5EF4-FFF2-40B4-BE49-F238E27FC236}">
              <a16:creationId xmlns:a16="http://schemas.microsoft.com/office/drawing/2014/main" id="{9A8054FF-E125-455B-93CA-6EC825958493}"/>
            </a:ext>
          </a:extLst>
        </xdr:cNvPr>
        <xdr:cNvPicPr>
          <a:picLocks noChangeAspect="1" noChangeArrowheads="1"/>
        </xdr:cNvPicPr>
      </xdr:nvPicPr>
      <xdr:blipFill>
        <a:blip xmlns:r="http://schemas.openxmlformats.org/officeDocument/2006/relationships" r:embed="rId11">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52425" y="7591425"/>
          <a:ext cx="38100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257175</xdr:colOff>
      <xdr:row>38</xdr:row>
      <xdr:rowOff>95250</xdr:rowOff>
    </xdr:from>
    <xdr:to>
      <xdr:col>0</xdr:col>
      <xdr:colOff>790575</xdr:colOff>
      <xdr:row>40</xdr:row>
      <xdr:rowOff>0</xdr:rowOff>
    </xdr:to>
    <xdr:pic>
      <xdr:nvPicPr>
        <xdr:cNvPr id="16" name="Рисунок 15">
          <a:extLst>
            <a:ext uri="{FF2B5EF4-FFF2-40B4-BE49-F238E27FC236}">
              <a16:creationId xmlns:a16="http://schemas.microsoft.com/office/drawing/2014/main" id="{289791FA-33F5-44E3-B879-223B5A7A2CA8}"/>
            </a:ext>
          </a:extLst>
        </xdr:cNvPr>
        <xdr:cNvPicPr>
          <a:picLocks noChangeAspect="1" noChangeArrowheads="1"/>
        </xdr:cNvPicPr>
      </xdr:nvPicPr>
      <xdr:blipFill>
        <a:blip xmlns:r="http://schemas.openxmlformats.org/officeDocument/2006/relationships" r:embed="rId1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57175" y="8143875"/>
          <a:ext cx="5334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133350</xdr:colOff>
      <xdr:row>40</xdr:row>
      <xdr:rowOff>47625</xdr:rowOff>
    </xdr:from>
    <xdr:to>
      <xdr:col>0</xdr:col>
      <xdr:colOff>942975</xdr:colOff>
      <xdr:row>42</xdr:row>
      <xdr:rowOff>9525</xdr:rowOff>
    </xdr:to>
    <xdr:pic>
      <xdr:nvPicPr>
        <xdr:cNvPr id="17" name="Рисунок 16">
          <a:extLst>
            <a:ext uri="{FF2B5EF4-FFF2-40B4-BE49-F238E27FC236}">
              <a16:creationId xmlns:a16="http://schemas.microsoft.com/office/drawing/2014/main" id="{151EACF8-A784-45CE-93A4-1B73E7E20EC6}"/>
            </a:ext>
          </a:extLst>
        </xdr:cNvPr>
        <xdr:cNvPicPr>
          <a:picLocks noChangeAspect="1" noChangeArrowheads="1"/>
        </xdr:cNvPicPr>
      </xdr:nvPicPr>
      <xdr:blipFill>
        <a:blip xmlns:r="http://schemas.openxmlformats.org/officeDocument/2006/relationships" r:embed="rId1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133350" y="8572500"/>
          <a:ext cx="8096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323850</xdr:colOff>
      <xdr:row>25</xdr:row>
      <xdr:rowOff>123825</xdr:rowOff>
    </xdr:from>
    <xdr:to>
      <xdr:col>0</xdr:col>
      <xdr:colOff>762000</xdr:colOff>
      <xdr:row>26</xdr:row>
      <xdr:rowOff>314325</xdr:rowOff>
    </xdr:to>
    <xdr:pic>
      <xdr:nvPicPr>
        <xdr:cNvPr id="18" name="Рисунок 17">
          <a:extLst>
            <a:ext uri="{FF2B5EF4-FFF2-40B4-BE49-F238E27FC236}">
              <a16:creationId xmlns:a16="http://schemas.microsoft.com/office/drawing/2014/main" id="{4329DC7A-1FEB-47EF-AFDF-132E8A924D8A}"/>
            </a:ext>
          </a:extLst>
        </xdr:cNvPr>
        <xdr:cNvPicPr>
          <a:picLocks noChangeAspect="1" noChangeArrowheads="1"/>
        </xdr:cNvPicPr>
      </xdr:nvPicPr>
      <xdr:blipFill>
        <a:blip xmlns:r="http://schemas.openxmlformats.org/officeDocument/2006/relationships" r:embed="rId1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23850" y="4981575"/>
          <a:ext cx="43815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295275</xdr:colOff>
      <xdr:row>9</xdr:row>
      <xdr:rowOff>180975</xdr:rowOff>
    </xdr:from>
    <xdr:to>
      <xdr:col>0</xdr:col>
      <xdr:colOff>647700</xdr:colOff>
      <xdr:row>10</xdr:row>
      <xdr:rowOff>190500</xdr:rowOff>
    </xdr:to>
    <xdr:pic>
      <xdr:nvPicPr>
        <xdr:cNvPr id="20" name="Рисунок 19">
          <a:extLst>
            <a:ext uri="{FF2B5EF4-FFF2-40B4-BE49-F238E27FC236}">
              <a16:creationId xmlns:a16="http://schemas.microsoft.com/office/drawing/2014/main" id="{F1755845-43DB-4EFA-A3F6-49CB2E820CFA}"/>
            </a:ext>
          </a:extLst>
        </xdr:cNvPr>
        <xdr:cNvPicPr>
          <a:picLocks noChangeAspect="1" noChangeArrowheads="1"/>
        </xdr:cNvPicPr>
      </xdr:nvPicPr>
      <xdr:blipFill>
        <a:blip xmlns:r="http://schemas.openxmlformats.org/officeDocument/2006/relationships" r:embed="rId15">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95275" y="2219325"/>
          <a:ext cx="352425"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323850</xdr:colOff>
      <xdr:row>10</xdr:row>
      <xdr:rowOff>200025</xdr:rowOff>
    </xdr:from>
    <xdr:to>
      <xdr:col>0</xdr:col>
      <xdr:colOff>676275</xdr:colOff>
      <xdr:row>12</xdr:row>
      <xdr:rowOff>0</xdr:rowOff>
    </xdr:to>
    <xdr:pic>
      <xdr:nvPicPr>
        <xdr:cNvPr id="21" name="Рисунок 20">
          <a:extLst>
            <a:ext uri="{FF2B5EF4-FFF2-40B4-BE49-F238E27FC236}">
              <a16:creationId xmlns:a16="http://schemas.microsoft.com/office/drawing/2014/main" id="{A3EE2E7E-D89B-4880-A1FF-E226D7D675B9}"/>
            </a:ext>
          </a:extLst>
        </xdr:cNvPr>
        <xdr:cNvPicPr>
          <a:picLocks noChangeAspect="1" noChangeArrowheads="1"/>
        </xdr:cNvPicPr>
      </xdr:nvPicPr>
      <xdr:blipFill>
        <a:blip xmlns:r="http://schemas.openxmlformats.org/officeDocument/2006/relationships" r:embed="rId1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23850" y="2428875"/>
          <a:ext cx="352425"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323850</xdr:colOff>
      <xdr:row>8</xdr:row>
      <xdr:rowOff>190500</xdr:rowOff>
    </xdr:from>
    <xdr:to>
      <xdr:col>0</xdr:col>
      <xdr:colOff>676275</xdr:colOff>
      <xdr:row>9</xdr:row>
      <xdr:rowOff>180975</xdr:rowOff>
    </xdr:to>
    <xdr:pic>
      <xdr:nvPicPr>
        <xdr:cNvPr id="22" name="Рисунок 21">
          <a:extLst>
            <a:ext uri="{FF2B5EF4-FFF2-40B4-BE49-F238E27FC236}">
              <a16:creationId xmlns:a16="http://schemas.microsoft.com/office/drawing/2014/main" id="{5A5210B2-3AEF-44EA-98CE-D56D6A96F99C}"/>
            </a:ext>
          </a:extLst>
        </xdr:cNvPr>
        <xdr:cNvPicPr>
          <a:picLocks noChangeAspect="1" noChangeArrowheads="1"/>
        </xdr:cNvPicPr>
      </xdr:nvPicPr>
      <xdr:blipFill>
        <a:blip xmlns:r="http://schemas.openxmlformats.org/officeDocument/2006/relationships" r:embed="rId17">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23850" y="2019300"/>
          <a:ext cx="352425"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419100</xdr:colOff>
      <xdr:row>36</xdr:row>
      <xdr:rowOff>9525</xdr:rowOff>
    </xdr:from>
    <xdr:to>
      <xdr:col>0</xdr:col>
      <xdr:colOff>695325</xdr:colOff>
      <xdr:row>36</xdr:row>
      <xdr:rowOff>200025</xdr:rowOff>
    </xdr:to>
    <xdr:pic>
      <xdr:nvPicPr>
        <xdr:cNvPr id="19" name="Рисунок 18">
          <a:extLst>
            <a:ext uri="{FF2B5EF4-FFF2-40B4-BE49-F238E27FC236}">
              <a16:creationId xmlns:a16="http://schemas.microsoft.com/office/drawing/2014/main" id="{E02F6452-C56B-4BA2-A05F-A0103247FE89}"/>
            </a:ext>
          </a:extLst>
        </xdr:cNvPr>
        <xdr:cNvPicPr>
          <a:picLocks noChangeAspect="1" noChangeArrowheads="1"/>
        </xdr:cNvPicPr>
      </xdr:nvPicPr>
      <xdr:blipFill>
        <a:blip xmlns:r="http://schemas.openxmlformats.org/officeDocument/2006/relationships" r:embed="rId18">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19100" y="8191500"/>
          <a:ext cx="276225" cy="1905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xdr:from>
      <xdr:col>3</xdr:col>
      <xdr:colOff>614361</xdr:colOff>
      <xdr:row>14</xdr:row>
      <xdr:rowOff>171450</xdr:rowOff>
    </xdr:from>
    <xdr:to>
      <xdr:col>10</xdr:col>
      <xdr:colOff>676274</xdr:colOff>
      <xdr:row>30</xdr:row>
      <xdr:rowOff>19050</xdr:rowOff>
    </xdr:to>
    <xdr:graphicFrame macro="">
      <xdr:nvGraphicFramePr>
        <xdr:cNvPr id="2" name="Диаграмма 1">
          <a:extLst>
            <a:ext uri="{FF2B5EF4-FFF2-40B4-BE49-F238E27FC236}">
              <a16:creationId xmlns:a16="http://schemas.microsoft.com/office/drawing/2014/main" id="{69E3A5ED-35C9-4860-A4B8-991821034FD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447675</xdr:colOff>
      <xdr:row>3</xdr:row>
      <xdr:rowOff>323850</xdr:rowOff>
    </xdr:from>
    <xdr:to>
      <xdr:col>0</xdr:col>
      <xdr:colOff>1266825</xdr:colOff>
      <xdr:row>4</xdr:row>
      <xdr:rowOff>320488</xdr:rowOff>
    </xdr:to>
    <xdr:pic>
      <xdr:nvPicPr>
        <xdr:cNvPr id="3" name="Рисунок 2">
          <a:extLst>
            <a:ext uri="{FF2B5EF4-FFF2-40B4-BE49-F238E27FC236}">
              <a16:creationId xmlns:a16="http://schemas.microsoft.com/office/drawing/2014/main" id="{7223B4C0-716B-4CC7-9E41-D05B4B93F6B5}"/>
            </a:ext>
          </a:extLst>
        </xdr:cNvPr>
        <xdr:cNvPicPr>
          <a:picLocks noChangeAspect="1" noChangeArrowheads="1"/>
        </xdr:cNvPicPr>
      </xdr:nvPicPr>
      <xdr:blipFill>
        <a:blip xmlns:r="http://schemas.openxmlformats.org/officeDocument/2006/relationships" r:embed="rId2">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47675" y="1619250"/>
          <a:ext cx="819150" cy="3681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695325</xdr:colOff>
      <xdr:row>4</xdr:row>
      <xdr:rowOff>238125</xdr:rowOff>
    </xdr:from>
    <xdr:to>
      <xdr:col>0</xdr:col>
      <xdr:colOff>962025</xdr:colOff>
      <xdr:row>6</xdr:row>
      <xdr:rowOff>0</xdr:rowOff>
    </xdr:to>
    <xdr:pic>
      <xdr:nvPicPr>
        <xdr:cNvPr id="8" name="Рисунок 7">
          <a:extLst>
            <a:ext uri="{FF2B5EF4-FFF2-40B4-BE49-F238E27FC236}">
              <a16:creationId xmlns:a16="http://schemas.microsoft.com/office/drawing/2014/main" id="{5230E4DC-D0F1-4051-994A-8565D1081906}"/>
            </a:ext>
          </a:extLst>
        </xdr:cNvPr>
        <xdr:cNvPicPr>
          <a:picLocks noChangeAspect="1" noChangeArrowheads="1"/>
        </xdr:cNvPicPr>
      </xdr:nvPicPr>
      <xdr:blipFill>
        <a:blip xmlns:r="http://schemas.openxmlformats.org/officeDocument/2006/relationships" r:embed="rId3">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695325" y="1905000"/>
          <a:ext cx="266700"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742950</xdr:colOff>
      <xdr:row>8</xdr:row>
      <xdr:rowOff>219075</xdr:rowOff>
    </xdr:from>
    <xdr:to>
      <xdr:col>0</xdr:col>
      <xdr:colOff>1000125</xdr:colOff>
      <xdr:row>9</xdr:row>
      <xdr:rowOff>228600</xdr:rowOff>
    </xdr:to>
    <xdr:pic>
      <xdr:nvPicPr>
        <xdr:cNvPr id="9" name="Рисунок 8">
          <a:extLst>
            <a:ext uri="{FF2B5EF4-FFF2-40B4-BE49-F238E27FC236}">
              <a16:creationId xmlns:a16="http://schemas.microsoft.com/office/drawing/2014/main" id="{84CEA827-1BA4-4B30-A073-0BC1DA1E3C9B}"/>
            </a:ext>
          </a:extLst>
        </xdr:cNvPr>
        <xdr:cNvPicPr>
          <a:picLocks noChangeAspect="1" noChangeArrowheads="1"/>
        </xdr:cNvPicPr>
      </xdr:nvPicPr>
      <xdr:blipFill>
        <a:blip xmlns:r="http://schemas.openxmlformats.org/officeDocument/2006/relationships" r:embed="rId4">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42950" y="3038475"/>
          <a:ext cx="257175"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457200</xdr:colOff>
      <xdr:row>7</xdr:row>
      <xdr:rowOff>276225</xdr:rowOff>
    </xdr:from>
    <xdr:to>
      <xdr:col>0</xdr:col>
      <xdr:colOff>1266825</xdr:colOff>
      <xdr:row>8</xdr:row>
      <xdr:rowOff>285750</xdr:rowOff>
    </xdr:to>
    <xdr:pic>
      <xdr:nvPicPr>
        <xdr:cNvPr id="10" name="Рисунок 9">
          <a:extLst>
            <a:ext uri="{FF2B5EF4-FFF2-40B4-BE49-F238E27FC236}">
              <a16:creationId xmlns:a16="http://schemas.microsoft.com/office/drawing/2014/main" id="{6658F7BB-E2DF-4E5F-8674-47FA7C63B5DE}"/>
            </a:ext>
          </a:extLst>
        </xdr:cNvPr>
        <xdr:cNvPicPr>
          <a:picLocks noChangeAspect="1" noChangeArrowheads="1"/>
        </xdr:cNvPicPr>
      </xdr:nvPicPr>
      <xdr:blipFill>
        <a:blip xmlns:r="http://schemas.openxmlformats.org/officeDocument/2006/relationships" r:embed="rId5">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57200" y="2733675"/>
          <a:ext cx="809625"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76200</xdr:colOff>
      <xdr:row>10</xdr:row>
      <xdr:rowOff>38100</xdr:rowOff>
    </xdr:from>
    <xdr:to>
      <xdr:col>0</xdr:col>
      <xdr:colOff>1552575</xdr:colOff>
      <xdr:row>11</xdr:row>
      <xdr:rowOff>228600</xdr:rowOff>
    </xdr:to>
    <xdr:pic>
      <xdr:nvPicPr>
        <xdr:cNvPr id="12" name="Рисунок 11">
          <a:extLst>
            <a:ext uri="{FF2B5EF4-FFF2-40B4-BE49-F238E27FC236}">
              <a16:creationId xmlns:a16="http://schemas.microsoft.com/office/drawing/2014/main" id="{A589BFF7-18C7-4249-906C-66F003A89490}"/>
            </a:ext>
          </a:extLst>
        </xdr:cNvPr>
        <xdr:cNvPicPr>
          <a:picLocks noChangeAspect="1" noChangeArrowheads="1"/>
        </xdr:cNvPicPr>
      </xdr:nvPicPr>
      <xdr:blipFill>
        <a:blip xmlns:r="http://schemas.openxmlformats.org/officeDocument/2006/relationships" r:embed="rId6">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76200" y="3457575"/>
          <a:ext cx="1476375" cy="3714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257175</xdr:colOff>
      <xdr:row>1</xdr:row>
      <xdr:rowOff>171450</xdr:rowOff>
    </xdr:from>
    <xdr:to>
      <xdr:col>0</xdr:col>
      <xdr:colOff>1362075</xdr:colOff>
      <xdr:row>1</xdr:row>
      <xdr:rowOff>371475</xdr:rowOff>
    </xdr:to>
    <xdr:pic>
      <xdr:nvPicPr>
        <xdr:cNvPr id="13" name="Рисунок 12">
          <a:extLst>
            <a:ext uri="{FF2B5EF4-FFF2-40B4-BE49-F238E27FC236}">
              <a16:creationId xmlns:a16="http://schemas.microsoft.com/office/drawing/2014/main" id="{5103BA42-E39B-49DE-BD12-1DAAE1D3E8CF}"/>
            </a:ext>
          </a:extLst>
        </xdr:cNvPr>
        <xdr:cNvPicPr>
          <a:picLocks noChangeAspect="1" noChangeArrowheads="1"/>
        </xdr:cNvPicPr>
      </xdr:nvPicPr>
      <xdr:blipFill>
        <a:blip xmlns:r="http://schemas.openxmlformats.org/officeDocument/2006/relationships" r:embed="rId7">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57175" y="561975"/>
          <a:ext cx="1104900"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314325</xdr:colOff>
      <xdr:row>2</xdr:row>
      <xdr:rowOff>85725</xdr:rowOff>
    </xdr:from>
    <xdr:to>
      <xdr:col>0</xdr:col>
      <xdr:colOff>1314450</xdr:colOff>
      <xdr:row>2</xdr:row>
      <xdr:rowOff>285750</xdr:rowOff>
    </xdr:to>
    <xdr:pic>
      <xdr:nvPicPr>
        <xdr:cNvPr id="14" name="Рисунок 13">
          <a:extLst>
            <a:ext uri="{FF2B5EF4-FFF2-40B4-BE49-F238E27FC236}">
              <a16:creationId xmlns:a16="http://schemas.microsoft.com/office/drawing/2014/main" id="{33171CDF-F187-4166-AA73-138D2187AC6A}"/>
            </a:ext>
          </a:extLst>
        </xdr:cNvPr>
        <xdr:cNvPicPr>
          <a:picLocks noChangeAspect="1" noChangeArrowheads="1"/>
        </xdr:cNvPicPr>
      </xdr:nvPicPr>
      <xdr:blipFill>
        <a:blip xmlns:r="http://schemas.openxmlformats.org/officeDocument/2006/relationships" r:embed="rId8">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14325" y="1009650"/>
          <a:ext cx="1000125"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285750</xdr:colOff>
      <xdr:row>3</xdr:row>
      <xdr:rowOff>57150</xdr:rowOff>
    </xdr:from>
    <xdr:to>
      <xdr:col>0</xdr:col>
      <xdr:colOff>1362075</xdr:colOff>
      <xdr:row>3</xdr:row>
      <xdr:rowOff>257175</xdr:rowOff>
    </xdr:to>
    <xdr:pic>
      <xdr:nvPicPr>
        <xdr:cNvPr id="15" name="Рисунок 14">
          <a:extLst>
            <a:ext uri="{FF2B5EF4-FFF2-40B4-BE49-F238E27FC236}">
              <a16:creationId xmlns:a16="http://schemas.microsoft.com/office/drawing/2014/main" id="{0BE7281D-10ED-486E-97C2-22EB6CCE666F}"/>
            </a:ext>
          </a:extLst>
        </xdr:cNvPr>
        <xdr:cNvPicPr>
          <a:picLocks noChangeAspect="1" noChangeArrowheads="1"/>
        </xdr:cNvPicPr>
      </xdr:nvPicPr>
      <xdr:blipFill>
        <a:blip xmlns:r="http://schemas.openxmlformats.org/officeDocument/2006/relationships" r:embed="rId9">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285750" y="1352550"/>
          <a:ext cx="1076325"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314325</xdr:colOff>
      <xdr:row>7</xdr:row>
      <xdr:rowOff>57150</xdr:rowOff>
    </xdr:from>
    <xdr:to>
      <xdr:col>0</xdr:col>
      <xdr:colOff>1381125</xdr:colOff>
      <xdr:row>7</xdr:row>
      <xdr:rowOff>257175</xdr:rowOff>
    </xdr:to>
    <xdr:pic>
      <xdr:nvPicPr>
        <xdr:cNvPr id="16" name="Рисунок 15">
          <a:extLst>
            <a:ext uri="{FF2B5EF4-FFF2-40B4-BE49-F238E27FC236}">
              <a16:creationId xmlns:a16="http://schemas.microsoft.com/office/drawing/2014/main" id="{BAACC7E3-580C-494A-B3FB-9CB6D90F3B1C}"/>
            </a:ext>
          </a:extLst>
        </xdr:cNvPr>
        <xdr:cNvPicPr>
          <a:picLocks noChangeAspect="1" noChangeArrowheads="1"/>
        </xdr:cNvPicPr>
      </xdr:nvPicPr>
      <xdr:blipFill>
        <a:blip xmlns:r="http://schemas.openxmlformats.org/officeDocument/2006/relationships" r:embed="rId10">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314325" y="2514600"/>
          <a:ext cx="1066800" cy="200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oneCellAnchor>
    <xdr:from>
      <xdr:col>19</xdr:col>
      <xdr:colOff>295276</xdr:colOff>
      <xdr:row>1</xdr:row>
      <xdr:rowOff>56412</xdr:rowOff>
    </xdr:from>
    <xdr:ext cx="5591174" cy="429435"/>
    <xdr:pic>
      <xdr:nvPicPr>
        <xdr:cNvPr id="3" name="Picture 3">
          <a:extLst>
            <a:ext uri="{FF2B5EF4-FFF2-40B4-BE49-F238E27FC236}">
              <a16:creationId xmlns:a16="http://schemas.microsoft.com/office/drawing/2014/main" id="{13F73C04-8A83-4FE6-A223-FBCB10BD46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124951" y="246912"/>
          <a:ext cx="5591174" cy="42943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persons/person.xml><?xml version="1.0" encoding="utf-8"?>
<sc:personList xmlns:sc="http://schemas.microsoft.com/office/spreadsheetml/2018/threadedcomments">
  <sc:person displayName="Stepan Zainulin" id="{47E06853-0D3C-482A-A125-59B8A3D22AF7}" userId="6dc1ece5924e0d9b" providerId="Windows Live"/>
  <sc:person displayName="Автор" id="{9D29357F-F0D6-4CEC-958B-8C1E8DCFCF6A}" providerId="None"/>
  <sc:person displayName="Мария Зеленова" id="{5EC605CA-F5D7-41F1-9842-B10697561679}" providerId="None"/>
  <sc:person displayName="btg-bm" id="{963F8FBB-7B4C-4801-B5C0-F48D4411AFC5}" providerId="None"/>
</sc: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Tfng" typeface="Ebrima"/>
      </a:majorFont>
      <a:minorFont>
        <a:latin typeface="Aptos Narrow" panose="02110004020202020204"/>
        <a:ea typeface=""/>
        <a:cs typefac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sc:ThreadedComments xmlns:sc="http://schemas.microsoft.com/office/spreadsheetml/2018/threadedcomments">
  <sc:threadedComment ref="V4" personId="{9D29357F-F0D6-4CEC-958B-8C1E8DCFCF6A}" id="{F307F6B2-4995-47C0-8C99-E1EA0127EC82}">
    <sc:text>Автор:
Т Е П Л О З АЩ И Т Н Ы Е С В О Й С Т В А
О Г Р АЖ Д АЮ Щ И Х К О Н СТ Р У К Ц И Й
ЗД А Н И Й с т о
00044807-
001-2006
</sc:text>
  </sc:threadedComment>
</sc:ThreadedComments>
</file>

<file path=xl/threadedComments/threadedComment2.xml><?xml version="1.0" encoding="utf-8"?>
<sc:ThreadedComments xmlns:sc="http://schemas.microsoft.com/office/spreadsheetml/2018/threadedcomments">
  <sc:threadedComment ref="P3" personId="{9D29357F-F0D6-4CEC-958B-8C1E8DCFCF6A}" id="{F5CB2759-F9FD-4CEB-A635-A9727F074A79}">
    <sc:text>Автор:
1 Мг =1 тонна</sc:text>
  </sc:threadedComment>
</sc:ThreadedComments>
</file>

<file path=xl/threadedComments/threadedComment3.xml><?xml version="1.0" encoding="utf-8"?>
<sc:ThreadedComments xmlns:sc="http://schemas.microsoft.com/office/spreadsheetml/2018/threadedcomments">
  <sc:threadedComment ref="A3" personId="{5EC605CA-F5D7-41F1-9842-B10697561679}" id="{D511CE38-F191-47D9-801A-B4071A650015}">
    <sc:text>Масса образованных остатков типа T на местах заготовки в год y (ПТД)</sc:text>
  </sc:threadedComment>
  <sc:threadedComment ref="A4" personId="{5EC605CA-F5D7-41F1-9842-B10697561679}" id="{0B4CE952-C7C3-40C7-B0D3-7521CEDA941C}">
    <sc:text>Поступление C с остатками типа T, которые образуются на местах заготовки в год y (ПТД)</sc:text>
  </sc:threadedComment>
  <sc:threadedComment ref="S4" personId="{5EC605CA-F5D7-41F1-9842-B10697561679}" id="{CE5EB72D-A092-470C-A63D-3DC8F8BB5E2A}">
    <sc:text>Nicolas Hofmann, Theresa Mendel, Fabian Schulmeyer, Daniel Kuptz, Herbert Borchert, Hans Hartmann, Drying effects and dry matter losses during seasonal storage of spruce wood chips under practical conditions, Biomass and Bioenergy, Volume 111, 2018, Pages 196-205, ISSN 0961-9534, https://doi.org/10.1016/j.biombioe.2017.03.022</sc:text>
  </sc:threadedComment>
  <sc:threadedComment ref="A5" personId="{5EC605CA-F5D7-41F1-9842-B10697561679}" id="{228B09F3-1079-4070-9125-555F841E56B2}">
    <sc:text>Запас С в пуле остатков типа T, которые складируются на местах заготовки в год y (ПТД)</sc:text>
  </sc:threadedComment>
  <sc:threadedComment ref="A6" personId="{5EC605CA-F5D7-41F1-9842-B10697561679}" id="{1AFF36A0-24E5-4CB9-8A04-2B695A6F6DBA}">
    <sc:text>Суммарное накопление углерода в пуле остатков типа T в базовой линии </sc:text>
  </sc:threadedComment>
</sc:ThreadedComments>
</file>

<file path=xl/threadedComments/threadedComment4.xml><?xml version="1.0" encoding="utf-8"?>
<sc:ThreadedComments xmlns:sc="http://schemas.microsoft.com/office/spreadsheetml/2018/threadedcomments">
  <sc:threadedComment ref="A3" personId="{5EC605CA-F5D7-41F1-9842-B10697561679}" id="{816990FA-D45B-4845-898C-C1447F2C686A}">
    <sc:text>Масса остатков типа T в год y (ПТД)</sc:text>
  </sc:threadedComment>
  <sc:threadedComment ref="A4" personId="{5EC605CA-F5D7-41F1-9842-B10697561679}" id="{56F5264F-FF17-4E01-AE81-78E8601B803D}">
    <sc:text>Поступление C с остатками типа T, которые используются в качестве сырья при производстве строительных материалов в проектном сценарии в год y</sc:text>
  </sc:threadedComment>
  <sc:threadedComment ref="S4" personId="{5EC605CA-F5D7-41F1-9842-B10697561679}" id="{7B7C8952-766F-4521-AD50-F8510DCE9BEB}">
    <sc:text>Nicolas Hofmann, Theresa Mendel, Fabian Schulmeyer, Daniel Kuptz, Herbert Borchert, Hans Hartmann, Drying effects and dry matter losses during seasonal storage of spruce wood chips under practical conditions, Biomass and Bioenergy, Volume 111, 2018, Pages 196-205, ISSN 0961-9534, https://doi.org/10.1016/j.biombioe.2017.03.022</sc:text>
  </sc:threadedComment>
  <sc:threadedComment ref="A6" personId="{5EC605CA-F5D7-41F1-9842-B10697561679}" id="{4953C70E-3DE1-407E-A83F-7956883EEE8C}">
    <sc:text>Хранение углерода в пуле остатков типа T (ПТД)</sc:text>
  </sc:threadedComment>
</sc:ThreadedComments>
</file>

<file path=xl/threadedComments/threadedComment5.xml><?xml version="1.0" encoding="utf-8"?>
<sc:ThreadedComments xmlns:sc="http://schemas.microsoft.com/office/spreadsheetml/2018/threadedcomments">
  <sc:threadedComment ref="A5" personId="{963F8FBB-7B4C-4801-B5C0-F48D4411AFC5}" id="{AD941FDD-00FB-432D-BF07-B2C49A87E5C9}">
    <sc:text>Год использования биомассы вместо складирования</sc:text>
  </sc:threadedComment>
</sc:ThreadedComments>
</file>

<file path=xl/threadedComments/threadedComment6.xml><?xml version="1.0" encoding="utf-8"?>
<sc:ThreadedComments xmlns:sc="http://schemas.microsoft.com/office/spreadsheetml/2018/threadedcomments" xmlns:unk8="http://schemas.microsoft.com/office/spreadsheetml/2020/threadedcomments2" xmlns:s="http://schemas.openxmlformats.org/spreadsheetml/2006/main">
  <sc:threadedComment ref="A23" dT="2025-09-16T12:42:52.71" personId="{47E06853-0D3C-482A-A125-59B8A3D22AF7}" id="{EF25BFFC-AAC4-4931-893F-C6E2BF0FFB04}">
    <sc:text>Методологический инструмент: «Выбросы по проекту и в результате утечек при транспортировке грузов», редакция 01.1, Инструмент 12</sc:text>
  </sc:threadedComment>
  <sc:threadedComment ref="A27" dT="2025-09-16T12:57:38.95" personId="{47E06853-0D3C-482A-A125-59B8A3D22AF7}" id="{70DB6649-7706-448C-A814-ABD62C3ECB79}">
    <sc:text>https://www.aac-worldwide.com/category/application-construction/autoclaved-aerated-concrete-in-sustainable-construction-2327</sc:text>
    <sc:extLst>
      <s:ext uri="{F7C98A9C-CBB3-438F-8F68-D28B6AF4A901}">
        <unk8:checksum>1348249439</unk8:checksum>
        <unk8:hyperlink startIndex="0" length="124" url="https://www.aac-worldwide.com/category/application-construction/autoclaved-aerated-concrete-in-sustainable-construction-2327"/>
      </s:ext>
    </sc:extLst>
  </sc:threadedComment>
</sc:ThreadedComments>
</file>

<file path=xl/threadedComments/threadedComment7.xml><?xml version="1.0" encoding="utf-8"?>
<sc:ThreadedComments xmlns:sc="http://schemas.microsoft.com/office/spreadsheetml/2018/threadedcomments">
  <sc:threadedComment ref="D5" dT="2025-09-16T13:00:29.45" personId="{47E06853-0D3C-482A-A125-59B8A3D22AF7}" id="{5DFDC1BD-AC6C-4E6F-A558-C96FA7514BE9}">
    <sc:text>Учтен на этапе оценок выбросов от электроэнергии</sc:text>
  </sc:threadedComment>
  <sc:threadedComment ref="A19" dT="2025-09-16T12:42:52.71" personId="{47E06853-0D3C-482A-A125-59B8A3D22AF7}" id="{55D701C5-0221-4551-886A-5943108D0EF8}">
    <sc:text>Методологический инструмент: «Выбросы по проекту и в результате утечек при транспортировке грузов», редакция 01.1, Инструмент 12</sc:text>
  </sc:threadedComment>
  <sc:threadedComment ref="A23" dT="2025-09-16T12:57:38.95" personId="{47E06853-0D3C-482A-A125-59B8A3D22AF7}" id="{FA809DBC-9631-4DA0-869F-B33938E3AE2F}">
    <sc:text>13492-ИОС1 Том 5.1. Таблица 2</sc:text>
  </sc:threadedComment>
</sc: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1.bin"/><Relationship Id="rId5" Type="http://schemas.microsoft.com/office/2017/10/relationships/threadedComment" Target="../threadedComments/threadedComment3.xml"/><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3.xml"/><Relationship Id="rId1" Type="http://schemas.openxmlformats.org/officeDocument/2006/relationships/printerSettings" Target="../printerSettings/printerSettings2.bin"/><Relationship Id="rId5" Type="http://schemas.microsoft.com/office/2017/10/relationships/threadedComment" Target="../threadedComments/threadedComment4.xml"/><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drawing" Target="../drawings/drawing8.xml"/><Relationship Id="rId4" Type="http://schemas.microsoft.com/office/2017/10/relationships/threadedComment" Target="../threadedComments/threadedComment5.xml"/></Relationships>
</file>

<file path=xl/worksheets/_rels/sheet11.xml.rels><?xml version="1.0" encoding="UTF-8" standalone="yes"?>
<Relationships xmlns="http://schemas.openxmlformats.org/package/2006/relationships"><Relationship Id="rId3" Type="http://schemas.microsoft.com/office/2017/10/relationships/threadedComment" Target="../threadedComments/threadedComment6.xml"/><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12.xml.rels><?xml version="1.0" encoding="UTF-8" standalone="yes"?>
<Relationships xmlns="http://schemas.openxmlformats.org/package/2006/relationships"><Relationship Id="rId3" Type="http://schemas.microsoft.com/office/2017/10/relationships/threadedComment" Target="../threadedComments/threadedComment7.xml"/><Relationship Id="rId2" Type="http://schemas.openxmlformats.org/officeDocument/2006/relationships/comments" Target="../comments7.xml"/><Relationship Id="rId1" Type="http://schemas.openxmlformats.org/officeDocument/2006/relationships/vmlDrawing" Target="../drawings/vmlDrawing7.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8CDDDA-66BC-4A77-8FED-2FF130A54DFD}">
  <dimension ref="A1:V27"/>
  <sheetViews>
    <sheetView zoomScaleNormal="100" workbookViewId="0">
      <selection activeCell="M26" sqref="M26"/>
    </sheetView>
  </sheetViews>
  <sheetFormatPr defaultColWidth="8.875" defaultRowHeight="14.25"/>
  <cols>
    <col min="1" max="1" width="49.625" customWidth="1"/>
    <col min="21" max="21" width="49.625" customWidth="1"/>
  </cols>
  <sheetData>
    <row r="1" spans="1:22" ht="15.75">
      <c r="A1" s="48" t="s">
        <v>106</v>
      </c>
      <c r="U1" s="1" t="s">
        <v>0</v>
      </c>
      <c r="V1" s="2">
        <v>45.049504949999999</v>
      </c>
    </row>
    <row r="2" spans="1:22">
      <c r="A2" s="48" t="s">
        <v>101</v>
      </c>
      <c r="B2" s="48">
        <v>2023</v>
      </c>
      <c r="C2" s="48">
        <v>2024</v>
      </c>
      <c r="D2" s="48">
        <v>2025</v>
      </c>
      <c r="E2" s="48">
        <v>2026</v>
      </c>
      <c r="F2" s="48">
        <v>2027</v>
      </c>
      <c r="G2" s="48">
        <v>2028</v>
      </c>
      <c r="H2" s="48">
        <v>2029</v>
      </c>
      <c r="I2" s="48">
        <v>2030</v>
      </c>
      <c r="J2" s="48">
        <v>2031</v>
      </c>
      <c r="K2" s="48">
        <v>2032</v>
      </c>
      <c r="L2" s="48">
        <v>2033</v>
      </c>
      <c r="U2" s="1" t="s">
        <v>1</v>
      </c>
      <c r="V2" s="3">
        <v>5871</v>
      </c>
    </row>
    <row r="3" spans="1:22" ht="18.75">
      <c r="A3" s="48" t="s">
        <v>104</v>
      </c>
      <c r="B3" s="81">
        <f>'Захоронение в полигоне (баз)'!C23</f>
        <v>177.82569078243034</v>
      </c>
      <c r="C3" s="81">
        <f>'Захоронение в полигоне (баз)'!D23</f>
        <v>350.39583815241798</v>
      </c>
      <c r="D3" s="81">
        <f>'Захоронение в полигоне (баз)'!E23</f>
        <v>517.86576689143033</v>
      </c>
      <c r="E3" s="81">
        <f>'Захоронение в полигоне (баз)'!F23</f>
        <v>680.38621123989174</v>
      </c>
      <c r="F3" s="81">
        <f>'Захоронение в полигоне (баз)'!G23</f>
        <v>838.10345056817516</v>
      </c>
      <c r="G3" s="81">
        <f>'Захоронение в полигоне (баз)'!H23</f>
        <v>991.15944103790878</v>
      </c>
      <c r="H3" s="81">
        <f>'Захоронение в полигоне (баз)'!I23</f>
        <v>1168.4702293775133</v>
      </c>
      <c r="I3" s="81">
        <f>'Захоронение в полигоне (баз)'!J23</f>
        <v>1340.5406919716477</v>
      </c>
      <c r="J3" s="81">
        <f>'Захоронение в полигоне (баз)'!K23</f>
        <v>1507.5257038517504</v>
      </c>
      <c r="K3" s="81">
        <f>'Захоронение в полигоне (баз)'!L23</f>
        <v>1640.7972767949327</v>
      </c>
      <c r="L3" s="81">
        <f>'Захоронение в полигоне (баз)'!M23</f>
        <v>1770.1300795066284</v>
      </c>
      <c r="M3" s="11"/>
      <c r="U3" s="1" t="s">
        <v>102</v>
      </c>
      <c r="V3" s="4">
        <f>'Производство арболита (пр)'!B14</f>
        <v>1652.3536082360788</v>
      </c>
    </row>
    <row r="4" spans="1:22" ht="18.75">
      <c r="A4" s="1" t="s">
        <v>105</v>
      </c>
      <c r="B4" s="49">
        <f t="shared" ref="B4:L4" si="0">$V$7*(1-$V$8)*$V$3*-44/12</f>
        <v>-1363.1917267947649</v>
      </c>
      <c r="C4" s="49">
        <f t="shared" si="0"/>
        <v>-1363.1917267947649</v>
      </c>
      <c r="D4" s="49">
        <f t="shared" si="0"/>
        <v>-1363.1917267947649</v>
      </c>
      <c r="E4" s="49">
        <f t="shared" si="0"/>
        <v>-1363.1917267947649</v>
      </c>
      <c r="F4" s="49">
        <f t="shared" si="0"/>
        <v>-1363.1917267947649</v>
      </c>
      <c r="G4" s="49">
        <f t="shared" si="0"/>
        <v>-1363.1917267947649</v>
      </c>
      <c r="H4" s="49">
        <f t="shared" si="0"/>
        <v>-1363.1917267947649</v>
      </c>
      <c r="I4" s="49">
        <f t="shared" si="0"/>
        <v>-1363.1917267947649</v>
      </c>
      <c r="J4" s="49">
        <f t="shared" si="0"/>
        <v>-1363.1917267947649</v>
      </c>
      <c r="K4" s="49">
        <f t="shared" si="0"/>
        <v>-1363.1917267947649</v>
      </c>
      <c r="L4" s="49">
        <f t="shared" si="0"/>
        <v>-1363.1917267947649</v>
      </c>
      <c r="M4" s="47"/>
      <c r="N4" s="11"/>
      <c r="U4" s="1" t="s">
        <v>3</v>
      </c>
      <c r="V4" s="3">
        <v>250</v>
      </c>
    </row>
    <row r="5" spans="1:22" ht="30.75">
      <c r="A5" s="1" t="s">
        <v>108</v>
      </c>
      <c r="B5" s="49">
        <f t="shared" ref="B5:L5" si="1">B3+B4</f>
        <v>-1185.3660360123345</v>
      </c>
      <c r="C5" s="49">
        <f t="shared" si="1"/>
        <v>-1012.7958886423469</v>
      </c>
      <c r="D5" s="49">
        <f t="shared" si="1"/>
        <v>-845.32595990333459</v>
      </c>
      <c r="E5" s="49">
        <f t="shared" si="1"/>
        <v>-682.80551555487318</v>
      </c>
      <c r="F5" s="49">
        <f t="shared" si="1"/>
        <v>-525.08827622658976</v>
      </c>
      <c r="G5" s="49">
        <f t="shared" si="1"/>
        <v>-372.03228575685614</v>
      </c>
      <c r="H5" s="49">
        <f t="shared" si="1"/>
        <v>-194.72149741725161</v>
      </c>
      <c r="I5" s="49">
        <f t="shared" si="1"/>
        <v>-22.651034823117243</v>
      </c>
      <c r="J5" s="49">
        <f t="shared" si="1"/>
        <v>144.33397705698553</v>
      </c>
      <c r="K5" s="49">
        <f t="shared" si="1"/>
        <v>277.6055500001678</v>
      </c>
      <c r="L5" s="49">
        <f t="shared" si="1"/>
        <v>406.93835271186344</v>
      </c>
      <c r="M5" s="47"/>
      <c r="U5" s="1" t="s">
        <v>4</v>
      </c>
      <c r="V5" s="3">
        <v>0.5</v>
      </c>
    </row>
    <row r="6" spans="1:22" ht="25.5">
      <c r="U6" s="5" t="s">
        <v>5</v>
      </c>
      <c r="V6" s="6">
        <v>1</v>
      </c>
    </row>
    <row r="7" spans="1:22" ht="25.5">
      <c r="A7" s="48" t="s">
        <v>107</v>
      </c>
      <c r="U7" s="5" t="s">
        <v>6</v>
      </c>
      <c r="V7" s="6">
        <v>0.5</v>
      </c>
    </row>
    <row r="8" spans="1:22" ht="25.5">
      <c r="A8" s="48" t="s">
        <v>101</v>
      </c>
      <c r="B8" s="48">
        <v>2023</v>
      </c>
      <c r="C8" s="48">
        <v>2024</v>
      </c>
      <c r="D8" s="48">
        <v>2025</v>
      </c>
      <c r="E8" s="48">
        <v>2026</v>
      </c>
      <c r="F8" s="48">
        <v>2027</v>
      </c>
      <c r="G8" s="48">
        <v>2028</v>
      </c>
      <c r="H8" s="48">
        <v>2029</v>
      </c>
      <c r="I8" s="48">
        <v>2030</v>
      </c>
      <c r="J8" s="48">
        <v>2031</v>
      </c>
      <c r="K8" s="48">
        <v>2032</v>
      </c>
      <c r="L8" s="48">
        <v>2033</v>
      </c>
      <c r="U8" s="5" t="s">
        <v>7</v>
      </c>
      <c r="V8" s="6">
        <v>0.55000000000000004</v>
      </c>
    </row>
    <row r="9" spans="1:22" ht="18.75">
      <c r="A9" s="1" t="s">
        <v>108</v>
      </c>
      <c r="B9" s="49">
        <f>'Мульчирование и сжигание (баз)'!B12</f>
        <v>2916.5146861165758</v>
      </c>
      <c r="C9" s="49">
        <f>'Мульчирование и сжигание (баз)'!C12</f>
        <v>2135.7075279988453</v>
      </c>
      <c r="D9" s="49">
        <f>'Мульчирование и сжигание (баз)'!D12</f>
        <v>2086.6263747043881</v>
      </c>
      <c r="E9" s="49">
        <f>'Мульчирование и сжигание (баз)'!E12</f>
        <v>2039.0023057431076</v>
      </c>
      <c r="F9" s="49">
        <f>'Мульчирование и сжигание (баз)'!F12</f>
        <v>1992.7920642921422</v>
      </c>
      <c r="G9" s="49">
        <f>'Мульчирование и сжигание (баз)'!G12</f>
        <v>1947.9536777046233</v>
      </c>
      <c r="H9" s="49">
        <f>'Мульчирование и сжигание (баз)'!H12</f>
        <v>1904.4464193860281</v>
      </c>
      <c r="I9" s="49">
        <f>'Мульчирование и сжигание (баз)'!I12</f>
        <v>1862.2307718023171</v>
      </c>
      <c r="J9" s="49">
        <f>'Мульчирование и сжигание (баз)'!J12</f>
        <v>1821.2683905862482</v>
      </c>
      <c r="K9" s="49">
        <f>'Мульчирование и сжигание (баз)'!K12</f>
        <v>1781.5220697092982</v>
      </c>
      <c r="L9" s="49">
        <f>'Мульчирование и сжигание (баз)'!L12</f>
        <v>1742.9557076875103</v>
      </c>
      <c r="U9" s="7" t="s">
        <v>8</v>
      </c>
      <c r="V9" s="6">
        <v>-0.02</v>
      </c>
    </row>
    <row r="10" spans="1:22" ht="15">
      <c r="A10" s="10"/>
      <c r="B10" s="47"/>
      <c r="C10" s="47"/>
      <c r="D10" s="47"/>
      <c r="E10" s="47"/>
      <c r="F10" s="47"/>
      <c r="G10" s="47"/>
      <c r="H10" s="47"/>
      <c r="I10" s="47"/>
      <c r="J10" s="47"/>
      <c r="K10" s="47"/>
      <c r="L10" s="47"/>
      <c r="U10" s="8" t="s">
        <v>9</v>
      </c>
      <c r="V10" s="9">
        <v>0.5</v>
      </c>
    </row>
    <row r="11" spans="1:22" ht="15">
      <c r="A11" s="48" t="s">
        <v>101</v>
      </c>
      <c r="B11" s="48">
        <v>2023</v>
      </c>
      <c r="C11" s="48">
        <v>2024</v>
      </c>
      <c r="D11" s="48">
        <v>2025</v>
      </c>
      <c r="E11" s="48">
        <v>2026</v>
      </c>
      <c r="F11" s="48">
        <v>2027</v>
      </c>
      <c r="G11" s="48">
        <v>2028</v>
      </c>
      <c r="H11" s="48">
        <v>2029</v>
      </c>
      <c r="I11" s="48">
        <v>2030</v>
      </c>
      <c r="J11" s="48">
        <v>2031</v>
      </c>
      <c r="K11" s="48">
        <v>2032</v>
      </c>
      <c r="L11" s="48">
        <v>2033</v>
      </c>
      <c r="U11" s="82"/>
      <c r="V11" s="83"/>
    </row>
    <row r="12" spans="1:22" ht="18.75">
      <c r="A12" s="48" t="s">
        <v>109</v>
      </c>
      <c r="B12" s="49">
        <f>'Производство газобетона (баз)'!$B$32</f>
        <v>2211.7489172618461</v>
      </c>
      <c r="C12" s="49">
        <f>'Производство газобетона (баз)'!$B$32</f>
        <v>2211.7489172618461</v>
      </c>
      <c r="D12" s="49">
        <f>'Производство газобетона (баз)'!$B$32</f>
        <v>2211.7489172618461</v>
      </c>
      <c r="E12" s="49">
        <f>'Производство газобетона (баз)'!$B$32</f>
        <v>2211.7489172618461</v>
      </c>
      <c r="F12" s="49">
        <f>'Производство газобетона (баз)'!$B$32</f>
        <v>2211.7489172618461</v>
      </c>
      <c r="G12" s="49">
        <f>'Производство газобетона (баз)'!$B$32</f>
        <v>2211.7489172618461</v>
      </c>
      <c r="H12" s="49">
        <f>'Производство газобетона (баз)'!$B$32</f>
        <v>2211.7489172618461</v>
      </c>
      <c r="I12" s="49">
        <f>'Производство газобетона (баз)'!$B$32</f>
        <v>2211.7489172618461</v>
      </c>
      <c r="J12" s="49">
        <f>'Производство газобетона (баз)'!$B$32</f>
        <v>2211.7489172618461</v>
      </c>
      <c r="K12" s="49">
        <f>'Производство газобетона (баз)'!$B$32</f>
        <v>2211.7489172618461</v>
      </c>
      <c r="L12" s="49">
        <f>'Производство газобетона (баз)'!$B$32</f>
        <v>2211.7489172618461</v>
      </c>
    </row>
    <row r="13" spans="1:22">
      <c r="B13" s="47"/>
      <c r="C13" s="47"/>
      <c r="D13" s="47"/>
      <c r="E13" s="47"/>
      <c r="F13" s="47"/>
      <c r="G13" s="47"/>
      <c r="H13" s="47"/>
      <c r="I13" s="47"/>
      <c r="J13" s="47"/>
      <c r="K13" s="47"/>
      <c r="L13" s="47"/>
    </row>
    <row r="14" spans="1:22">
      <c r="A14" s="48" t="s">
        <v>101</v>
      </c>
      <c r="B14" s="48">
        <v>2023</v>
      </c>
      <c r="C14" s="48">
        <v>2024</v>
      </c>
      <c r="D14" s="48">
        <v>2025</v>
      </c>
      <c r="E14" s="48">
        <v>2026</v>
      </c>
      <c r="F14" s="48">
        <v>2027</v>
      </c>
      <c r="G14" s="48">
        <v>2028</v>
      </c>
      <c r="H14" s="48">
        <v>2029</v>
      </c>
      <c r="I14" s="48">
        <v>2030</v>
      </c>
      <c r="J14" s="48">
        <v>2031</v>
      </c>
      <c r="K14" s="48">
        <v>2032</v>
      </c>
      <c r="L14" s="48">
        <v>2033</v>
      </c>
    </row>
    <row r="15" spans="1:22" ht="18.75">
      <c r="A15" s="48" t="s">
        <v>118</v>
      </c>
      <c r="B15" s="49">
        <f t="shared" ref="B15:L15" si="2">B12+B5</f>
        <v>1026.3828812495117</v>
      </c>
      <c r="C15" s="49">
        <f t="shared" si="2"/>
        <v>1198.9530286194993</v>
      </c>
      <c r="D15" s="49">
        <f t="shared" si="2"/>
        <v>1366.4229573585117</v>
      </c>
      <c r="E15" s="49">
        <f t="shared" si="2"/>
        <v>1528.943401706973</v>
      </c>
      <c r="F15" s="49">
        <f t="shared" si="2"/>
        <v>1686.6606410352565</v>
      </c>
      <c r="G15" s="49">
        <f t="shared" si="2"/>
        <v>1839.7166315049899</v>
      </c>
      <c r="H15" s="49">
        <f t="shared" si="2"/>
        <v>2017.0274198445945</v>
      </c>
      <c r="I15" s="49">
        <f t="shared" si="2"/>
        <v>2189.0978824387289</v>
      </c>
      <c r="J15" s="49">
        <f t="shared" si="2"/>
        <v>2356.0828943188317</v>
      </c>
      <c r="K15" s="49">
        <f t="shared" si="2"/>
        <v>2489.3544672620137</v>
      </c>
      <c r="L15" s="49">
        <f t="shared" si="2"/>
        <v>2618.6872699737096</v>
      </c>
    </row>
    <row r="16" spans="1:22" ht="18.75">
      <c r="A16" s="48" t="s">
        <v>117</v>
      </c>
      <c r="B16" s="49">
        <f t="shared" ref="B16:L16" si="3">B12+B9</f>
        <v>5128.263603378422</v>
      </c>
      <c r="C16" s="49">
        <f t="shared" si="3"/>
        <v>4347.4564452606919</v>
      </c>
      <c r="D16" s="49">
        <f t="shared" si="3"/>
        <v>4298.3752919662347</v>
      </c>
      <c r="E16" s="49">
        <f t="shared" si="3"/>
        <v>4250.7512230049542</v>
      </c>
      <c r="F16" s="49">
        <f t="shared" si="3"/>
        <v>4204.5409815539879</v>
      </c>
      <c r="G16" s="49">
        <f t="shared" si="3"/>
        <v>4159.7025949664694</v>
      </c>
      <c r="H16" s="49">
        <f t="shared" si="3"/>
        <v>4116.1953366478738</v>
      </c>
      <c r="I16" s="49">
        <f t="shared" si="3"/>
        <v>4073.9796890641633</v>
      </c>
      <c r="J16" s="49">
        <f t="shared" si="3"/>
        <v>4033.0173078480943</v>
      </c>
      <c r="K16" s="49">
        <f t="shared" si="3"/>
        <v>3993.2709869711443</v>
      </c>
      <c r="L16" s="49">
        <f t="shared" si="3"/>
        <v>3954.7046249493565</v>
      </c>
    </row>
    <row r="17" spans="1:13">
      <c r="B17" s="47"/>
    </row>
    <row r="18" spans="1:13">
      <c r="A18" s="48" t="s">
        <v>101</v>
      </c>
      <c r="B18" s="48">
        <v>2023</v>
      </c>
      <c r="C18" s="48">
        <v>2024</v>
      </c>
      <c r="D18" s="48">
        <v>2025</v>
      </c>
      <c r="E18" s="48">
        <v>2026</v>
      </c>
      <c r="F18" s="48">
        <v>2027</v>
      </c>
      <c r="G18" s="48">
        <v>2028</v>
      </c>
      <c r="H18" s="48">
        <v>2029</v>
      </c>
      <c r="I18" s="48">
        <v>2030</v>
      </c>
      <c r="J18" s="48">
        <v>2031</v>
      </c>
      <c r="K18" s="48">
        <v>2032</v>
      </c>
      <c r="L18" s="48">
        <v>2033</v>
      </c>
    </row>
    <row r="19" spans="1:13" ht="18.75">
      <c r="A19" s="48" t="s">
        <v>121</v>
      </c>
      <c r="B19" s="49">
        <f>'Производство арболита (пр)'!$B$30</f>
        <v>1849.4339976894619</v>
      </c>
      <c r="C19" s="49">
        <f>'Производство арболита (пр)'!$B$30</f>
        <v>1849.4339976894619</v>
      </c>
      <c r="D19" s="49">
        <f>'Производство арболита (пр)'!$B$30</f>
        <v>1849.4339976894619</v>
      </c>
      <c r="E19" s="49">
        <f>'Производство арболита (пр)'!$B$30</f>
        <v>1849.4339976894619</v>
      </c>
      <c r="F19" s="49">
        <f>'Производство арболита (пр)'!$B$30</f>
        <v>1849.4339976894619</v>
      </c>
      <c r="G19" s="49">
        <f>'Производство арболита (пр)'!$B$30</f>
        <v>1849.4339976894619</v>
      </c>
      <c r="H19" s="49">
        <f>'Производство арболита (пр)'!$B$30</f>
        <v>1849.4339976894619</v>
      </c>
      <c r="I19" s="49">
        <f>'Производство арболита (пр)'!$B$30</f>
        <v>1849.4339976894619</v>
      </c>
      <c r="J19" s="49">
        <f>'Производство арболита (пр)'!$B$30</f>
        <v>1849.4339976894619</v>
      </c>
      <c r="K19" s="49">
        <f>'Производство арболита (пр)'!$B$30</f>
        <v>1849.4339976894619</v>
      </c>
      <c r="L19" s="49">
        <f>'Производство арболита (пр)'!$B$30</f>
        <v>1849.4339976894619</v>
      </c>
    </row>
    <row r="20" spans="1:13" ht="18.75">
      <c r="A20" s="48" t="s">
        <v>120</v>
      </c>
      <c r="B20" s="49">
        <f t="shared" ref="B20:L20" si="4">$V$3*$V$5*-44/12</f>
        <v>-3029.314948432811</v>
      </c>
      <c r="C20" s="49">
        <f t="shared" si="4"/>
        <v>-3029.314948432811</v>
      </c>
      <c r="D20" s="49">
        <f t="shared" si="4"/>
        <v>-3029.314948432811</v>
      </c>
      <c r="E20" s="49">
        <f t="shared" si="4"/>
        <v>-3029.314948432811</v>
      </c>
      <c r="F20" s="49">
        <f t="shared" si="4"/>
        <v>-3029.314948432811</v>
      </c>
      <c r="G20" s="49">
        <f t="shared" si="4"/>
        <v>-3029.314948432811</v>
      </c>
      <c r="H20" s="49">
        <f t="shared" si="4"/>
        <v>-3029.314948432811</v>
      </c>
      <c r="I20" s="49">
        <f t="shared" si="4"/>
        <v>-3029.314948432811</v>
      </c>
      <c r="J20" s="49">
        <f t="shared" si="4"/>
        <v>-3029.314948432811</v>
      </c>
      <c r="K20" s="49">
        <f t="shared" si="4"/>
        <v>-3029.314948432811</v>
      </c>
      <c r="L20" s="49">
        <f t="shared" si="4"/>
        <v>-3029.314948432811</v>
      </c>
    </row>
    <row r="21" spans="1:13" ht="18.75">
      <c r="A21" s="48" t="s">
        <v>119</v>
      </c>
      <c r="B21" s="49">
        <f t="shared" ref="B21:L21" si="5">B19+B20</f>
        <v>-1179.8809507433491</v>
      </c>
      <c r="C21" s="49">
        <f t="shared" si="5"/>
        <v>-1179.8809507433491</v>
      </c>
      <c r="D21" s="49">
        <f t="shared" si="5"/>
        <v>-1179.8809507433491</v>
      </c>
      <c r="E21" s="49">
        <f t="shared" si="5"/>
        <v>-1179.8809507433491</v>
      </c>
      <c r="F21" s="49">
        <f t="shared" si="5"/>
        <v>-1179.8809507433491</v>
      </c>
      <c r="G21" s="49">
        <f t="shared" si="5"/>
        <v>-1179.8809507433491</v>
      </c>
      <c r="H21" s="49">
        <f t="shared" si="5"/>
        <v>-1179.8809507433491</v>
      </c>
      <c r="I21" s="49">
        <f t="shared" si="5"/>
        <v>-1179.8809507433491</v>
      </c>
      <c r="J21" s="49">
        <f t="shared" si="5"/>
        <v>-1179.8809507433491</v>
      </c>
      <c r="K21" s="49">
        <f t="shared" si="5"/>
        <v>-1179.8809507433491</v>
      </c>
      <c r="L21" s="49">
        <f t="shared" si="5"/>
        <v>-1179.8809507433491</v>
      </c>
    </row>
    <row r="24" spans="1:13" ht="18.75">
      <c r="A24" t="s">
        <v>122</v>
      </c>
    </row>
    <row r="25" spans="1:13">
      <c r="A25" s="48" t="s">
        <v>101</v>
      </c>
      <c r="B25" s="48">
        <v>2023</v>
      </c>
      <c r="C25" s="48">
        <v>2024</v>
      </c>
      <c r="D25" s="48">
        <v>2025</v>
      </c>
      <c r="E25" s="48">
        <v>2026</v>
      </c>
      <c r="F25" s="48">
        <v>2027</v>
      </c>
      <c r="G25" s="48">
        <v>2028</v>
      </c>
      <c r="H25" s="48">
        <v>2029</v>
      </c>
      <c r="I25" s="48">
        <v>2030</v>
      </c>
      <c r="J25" s="48">
        <v>2031</v>
      </c>
      <c r="K25" s="48">
        <v>2032</v>
      </c>
      <c r="L25" s="48">
        <v>2033</v>
      </c>
      <c r="M25" s="48" t="s">
        <v>123</v>
      </c>
    </row>
    <row r="26" spans="1:13">
      <c r="A26" s="48" t="s">
        <v>106</v>
      </c>
      <c r="B26" s="49">
        <f t="shared" ref="B26:L26" si="6">B21-B15</f>
        <v>-2206.263831992861</v>
      </c>
      <c r="C26" s="49">
        <f t="shared" si="6"/>
        <v>-2378.8339793628484</v>
      </c>
      <c r="D26" s="49">
        <f t="shared" si="6"/>
        <v>-2546.3039081018605</v>
      </c>
      <c r="E26" s="49">
        <f t="shared" si="6"/>
        <v>-2708.8243524503223</v>
      </c>
      <c r="F26" s="49">
        <f t="shared" si="6"/>
        <v>-2866.5415917786058</v>
      </c>
      <c r="G26" s="49">
        <f t="shared" si="6"/>
        <v>-3019.5975822483388</v>
      </c>
      <c r="H26" s="49">
        <f t="shared" si="6"/>
        <v>-3196.9083705879439</v>
      </c>
      <c r="I26" s="49">
        <f t="shared" si="6"/>
        <v>-3368.9788331820782</v>
      </c>
      <c r="J26" s="49">
        <f t="shared" si="6"/>
        <v>-3535.9638450621806</v>
      </c>
      <c r="K26" s="49">
        <f t="shared" si="6"/>
        <v>-3669.2354180053626</v>
      </c>
      <c r="L26" s="49">
        <f t="shared" si="6"/>
        <v>-3798.5682207170585</v>
      </c>
      <c r="M26" s="49">
        <f>SUM(B26:L26)</f>
        <v>-33296.019933489457</v>
      </c>
    </row>
    <row r="27" spans="1:13">
      <c r="A27" s="48" t="s">
        <v>107</v>
      </c>
      <c r="B27" s="49">
        <f t="shared" ref="B27:L27" si="7">B21-B16</f>
        <v>-6308.1445541217709</v>
      </c>
      <c r="C27" s="49">
        <f t="shared" si="7"/>
        <v>-5527.3373960040408</v>
      </c>
      <c r="D27" s="49">
        <f t="shared" si="7"/>
        <v>-5478.2562427095836</v>
      </c>
      <c r="E27" s="49">
        <f t="shared" si="7"/>
        <v>-5430.6321737483031</v>
      </c>
      <c r="F27" s="49">
        <f t="shared" si="7"/>
        <v>-5384.4219322973368</v>
      </c>
      <c r="G27" s="49">
        <f t="shared" si="7"/>
        <v>-5339.5835457098183</v>
      </c>
      <c r="H27" s="49">
        <f t="shared" si="7"/>
        <v>-5296.0762873912226</v>
      </c>
      <c r="I27" s="49">
        <f t="shared" si="7"/>
        <v>-5253.8606398075126</v>
      </c>
      <c r="J27" s="49">
        <f t="shared" si="7"/>
        <v>-5212.8982585914437</v>
      </c>
      <c r="K27" s="49">
        <f t="shared" si="7"/>
        <v>-5173.1519377144932</v>
      </c>
      <c r="L27" s="49">
        <f t="shared" si="7"/>
        <v>-5134.5855756927058</v>
      </c>
      <c r="M27" s="49">
        <f>SUM(B27:L27)</f>
        <v>-59538.948543788225</v>
      </c>
    </row>
  </sheetData>
  <pageMargins left="0.7" right="0.7" top="0.75" bottom="0.75" header="0.3" footer="0.3"/>
  <drawing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B9DFD2-DB47-40E5-96D6-17E6B317B165}">
  <dimension ref="A1:Q20"/>
  <sheetViews>
    <sheetView zoomScale="110" zoomScaleNormal="110" workbookViewId="0">
      <selection activeCell="B6" sqref="B6"/>
    </sheetView>
  </sheetViews>
  <sheetFormatPr defaultColWidth="8.875" defaultRowHeight="14.25"/>
  <cols>
    <col min="1" max="1" width="43.625" style="12" customWidth="1"/>
    <col min="2" max="14" width="9.125" style="12"/>
    <col min="15" max="15" width="38.375" style="12" customWidth="1"/>
    <col min="16" max="16" width="65.625" style="12" bestFit="1" customWidth="1"/>
    <col min="17" max="34" width="9.125" style="12"/>
    <col min="35" max="35" width="15.5" style="12" customWidth="1"/>
    <col min="36" max="36" width="54" style="12" customWidth="1"/>
    <col min="37" max="243" width="9.125" style="12"/>
    <col min="244" max="244" width="9" style="12" customWidth="1"/>
    <col min="245" max="245" width="15.625" style="12" customWidth="1"/>
    <col min="246" max="246" width="7.5" style="12" customWidth="1"/>
    <col min="247" max="247" width="7.625" style="12" customWidth="1"/>
    <col min="248" max="248" width="6.5" style="12" bestFit="1" customWidth="1"/>
    <col min="249" max="249" width="7.5" style="12" bestFit="1" customWidth="1"/>
    <col min="250" max="251" width="9.125" style="12"/>
    <col min="252" max="252" width="5.5" style="12" customWidth="1"/>
    <col min="253" max="253" width="9.125" style="12"/>
    <col min="254" max="254" width="64.375" style="12" customWidth="1"/>
    <col min="255" max="255" width="8.125" style="12" customWidth="1"/>
    <col min="256" max="256" width="0" style="12" hidden="1" customWidth="1"/>
    <col min="257" max="257" width="4.875" style="12" customWidth="1"/>
    <col min="258" max="499" width="9.125" style="12"/>
    <col min="500" max="500" width="9" style="12" customWidth="1"/>
    <col min="501" max="501" width="15.625" style="12" customWidth="1"/>
    <col min="502" max="502" width="7.5" style="12" customWidth="1"/>
    <col min="503" max="503" width="7.625" style="12" customWidth="1"/>
    <col min="504" max="504" width="6.5" style="12" bestFit="1" customWidth="1"/>
    <col min="505" max="505" width="7.5" style="12" bestFit="1" customWidth="1"/>
    <col min="506" max="507" width="9.125" style="12"/>
    <col min="508" max="508" width="5.5" style="12" customWidth="1"/>
    <col min="509" max="509" width="9.125" style="12"/>
    <col min="510" max="510" width="64.375" style="12" customWidth="1"/>
    <col min="511" max="511" width="8.125" style="12" customWidth="1"/>
    <col min="512" max="512" width="0" style="12" hidden="1" customWidth="1"/>
    <col min="513" max="513" width="4.875" style="12" customWidth="1"/>
    <col min="514" max="755" width="9.125" style="12"/>
    <col min="756" max="756" width="9" style="12" customWidth="1"/>
    <col min="757" max="757" width="15.625" style="12" customWidth="1"/>
    <col min="758" max="758" width="7.5" style="12" customWidth="1"/>
    <col min="759" max="759" width="7.625" style="12" customWidth="1"/>
    <col min="760" max="760" width="6.5" style="12" bestFit="1" customWidth="1"/>
    <col min="761" max="761" width="7.5" style="12" bestFit="1" customWidth="1"/>
    <col min="762" max="763" width="9.125" style="12"/>
    <col min="764" max="764" width="5.5" style="12" customWidth="1"/>
    <col min="765" max="765" width="9.125" style="12"/>
    <col min="766" max="766" width="64.375" style="12" customWidth="1"/>
    <col min="767" max="767" width="8.125" style="12" customWidth="1"/>
    <col min="768" max="768" width="0" style="12" hidden="1" customWidth="1"/>
    <col min="769" max="769" width="4.875" style="12" customWidth="1"/>
    <col min="770" max="1011" width="9.125" style="12"/>
    <col min="1012" max="1012" width="9" style="12" customWidth="1"/>
    <col min="1013" max="1013" width="15.625" style="12" customWidth="1"/>
    <col min="1014" max="1014" width="7.5" style="12" customWidth="1"/>
    <col min="1015" max="1015" width="7.625" style="12" customWidth="1"/>
    <col min="1016" max="1016" width="6.5" style="12" bestFit="1" customWidth="1"/>
    <col min="1017" max="1017" width="7.5" style="12" bestFit="1" customWidth="1"/>
    <col min="1018" max="1019" width="9.125" style="12"/>
    <col min="1020" max="1020" width="5.5" style="12" customWidth="1"/>
    <col min="1021" max="1021" width="9.125" style="12"/>
    <col min="1022" max="1022" width="64.375" style="12" customWidth="1"/>
    <col min="1023" max="1023" width="8.125" style="12" customWidth="1"/>
    <col min="1024" max="1024" width="0" style="12" hidden="1" customWidth="1"/>
    <col min="1025" max="1025" width="4.875" style="12" customWidth="1"/>
    <col min="1026" max="1267" width="9.125" style="12"/>
    <col min="1268" max="1268" width="9" style="12" customWidth="1"/>
    <col min="1269" max="1269" width="15.625" style="12" customWidth="1"/>
    <col min="1270" max="1270" width="7.5" style="12" customWidth="1"/>
    <col min="1271" max="1271" width="7.625" style="12" customWidth="1"/>
    <col min="1272" max="1272" width="6.5" style="12" bestFit="1" customWidth="1"/>
    <col min="1273" max="1273" width="7.5" style="12" bestFit="1" customWidth="1"/>
    <col min="1274" max="1275" width="9.125" style="12"/>
    <col min="1276" max="1276" width="5.5" style="12" customWidth="1"/>
    <col min="1277" max="1277" width="9.125" style="12"/>
    <col min="1278" max="1278" width="64.375" style="12" customWidth="1"/>
    <col min="1279" max="1279" width="8.125" style="12" customWidth="1"/>
    <col min="1280" max="1280" width="0" style="12" hidden="1" customWidth="1"/>
    <col min="1281" max="1281" width="4.875" style="12" customWidth="1"/>
    <col min="1282" max="1523" width="9.125" style="12"/>
    <col min="1524" max="1524" width="9" style="12" customWidth="1"/>
    <col min="1525" max="1525" width="15.625" style="12" customWidth="1"/>
    <col min="1526" max="1526" width="7.5" style="12" customWidth="1"/>
    <col min="1527" max="1527" width="7.625" style="12" customWidth="1"/>
    <col min="1528" max="1528" width="6.5" style="12" bestFit="1" customWidth="1"/>
    <col min="1529" max="1529" width="7.5" style="12" bestFit="1" customWidth="1"/>
    <col min="1530" max="1531" width="9.125" style="12"/>
    <col min="1532" max="1532" width="5.5" style="12" customWidth="1"/>
    <col min="1533" max="1533" width="9.125" style="12"/>
    <col min="1534" max="1534" width="64.375" style="12" customWidth="1"/>
    <col min="1535" max="1535" width="8.125" style="12" customWidth="1"/>
    <col min="1536" max="1536" width="0" style="12" hidden="1" customWidth="1"/>
    <col min="1537" max="1537" width="4.875" style="12" customWidth="1"/>
    <col min="1538" max="1779" width="9.125" style="12"/>
    <col min="1780" max="1780" width="9" style="12" customWidth="1"/>
    <col min="1781" max="1781" width="15.625" style="12" customWidth="1"/>
    <col min="1782" max="1782" width="7.5" style="12" customWidth="1"/>
    <col min="1783" max="1783" width="7.625" style="12" customWidth="1"/>
    <col min="1784" max="1784" width="6.5" style="12" bestFit="1" customWidth="1"/>
    <col min="1785" max="1785" width="7.5" style="12" bestFit="1" customWidth="1"/>
    <col min="1786" max="1787" width="9.125" style="12"/>
    <col min="1788" max="1788" width="5.5" style="12" customWidth="1"/>
    <col min="1789" max="1789" width="9.125" style="12"/>
    <col min="1790" max="1790" width="64.375" style="12" customWidth="1"/>
    <col min="1791" max="1791" width="8.125" style="12" customWidth="1"/>
    <col min="1792" max="1792" width="0" style="12" hidden="1" customWidth="1"/>
    <col min="1793" max="1793" width="4.875" style="12" customWidth="1"/>
    <col min="1794" max="2035" width="9.125" style="12"/>
    <col min="2036" max="2036" width="9" style="12" customWidth="1"/>
    <col min="2037" max="2037" width="15.625" style="12" customWidth="1"/>
    <col min="2038" max="2038" width="7.5" style="12" customWidth="1"/>
    <col min="2039" max="2039" width="7.625" style="12" customWidth="1"/>
    <col min="2040" max="2040" width="6.5" style="12" bestFit="1" customWidth="1"/>
    <col min="2041" max="2041" width="7.5" style="12" bestFit="1" customWidth="1"/>
    <col min="2042" max="2043" width="9.125" style="12"/>
    <col min="2044" max="2044" width="5.5" style="12" customWidth="1"/>
    <col min="2045" max="2045" width="9.125" style="12"/>
    <col min="2046" max="2046" width="64.375" style="12" customWidth="1"/>
    <col min="2047" max="2047" width="8.125" style="12" customWidth="1"/>
    <col min="2048" max="2048" width="0" style="12" hidden="1" customWidth="1"/>
    <col min="2049" max="2049" width="4.875" style="12" customWidth="1"/>
    <col min="2050" max="2291" width="9.125" style="12"/>
    <col min="2292" max="2292" width="9" style="12" customWidth="1"/>
    <col min="2293" max="2293" width="15.625" style="12" customWidth="1"/>
    <col min="2294" max="2294" width="7.5" style="12" customWidth="1"/>
    <col min="2295" max="2295" width="7.625" style="12" customWidth="1"/>
    <col min="2296" max="2296" width="6.5" style="12" bestFit="1" customWidth="1"/>
    <col min="2297" max="2297" width="7.5" style="12" bestFit="1" customWidth="1"/>
    <col min="2298" max="2299" width="9.125" style="12"/>
    <col min="2300" max="2300" width="5.5" style="12" customWidth="1"/>
    <col min="2301" max="2301" width="9.125" style="12"/>
    <col min="2302" max="2302" width="64.375" style="12" customWidth="1"/>
    <col min="2303" max="2303" width="8.125" style="12" customWidth="1"/>
    <col min="2304" max="2304" width="0" style="12" hidden="1" customWidth="1"/>
    <col min="2305" max="2305" width="4.875" style="12" customWidth="1"/>
    <col min="2306" max="2547" width="9.125" style="12"/>
    <col min="2548" max="2548" width="9" style="12" customWidth="1"/>
    <col min="2549" max="2549" width="15.625" style="12" customWidth="1"/>
    <col min="2550" max="2550" width="7.5" style="12" customWidth="1"/>
    <col min="2551" max="2551" width="7.625" style="12" customWidth="1"/>
    <col min="2552" max="2552" width="6.5" style="12" bestFit="1" customWidth="1"/>
    <col min="2553" max="2553" width="7.5" style="12" bestFit="1" customWidth="1"/>
    <col min="2554" max="2555" width="9.125" style="12"/>
    <col min="2556" max="2556" width="5.5" style="12" customWidth="1"/>
    <col min="2557" max="2557" width="9.125" style="12"/>
    <col min="2558" max="2558" width="64.375" style="12" customWidth="1"/>
    <col min="2559" max="2559" width="8.125" style="12" customWidth="1"/>
    <col min="2560" max="2560" width="0" style="12" hidden="1" customWidth="1"/>
    <col min="2561" max="2561" width="4.875" style="12" customWidth="1"/>
    <col min="2562" max="2803" width="9.125" style="12"/>
    <col min="2804" max="2804" width="9" style="12" customWidth="1"/>
    <col min="2805" max="2805" width="15.625" style="12" customWidth="1"/>
    <col min="2806" max="2806" width="7.5" style="12" customWidth="1"/>
    <col min="2807" max="2807" width="7.625" style="12" customWidth="1"/>
    <col min="2808" max="2808" width="6.5" style="12" bestFit="1" customWidth="1"/>
    <col min="2809" max="2809" width="7.5" style="12" bestFit="1" customWidth="1"/>
    <col min="2810" max="2811" width="9.125" style="12"/>
    <col min="2812" max="2812" width="5.5" style="12" customWidth="1"/>
    <col min="2813" max="2813" width="9.125" style="12"/>
    <col min="2814" max="2814" width="64.375" style="12" customWidth="1"/>
    <col min="2815" max="2815" width="8.125" style="12" customWidth="1"/>
    <col min="2816" max="2816" width="0" style="12" hidden="1" customWidth="1"/>
    <col min="2817" max="2817" width="4.875" style="12" customWidth="1"/>
    <col min="2818" max="3059" width="9.125" style="12"/>
    <col min="3060" max="3060" width="9" style="12" customWidth="1"/>
    <col min="3061" max="3061" width="15.625" style="12" customWidth="1"/>
    <col min="3062" max="3062" width="7.5" style="12" customWidth="1"/>
    <col min="3063" max="3063" width="7.625" style="12" customWidth="1"/>
    <col min="3064" max="3064" width="6.5" style="12" bestFit="1" customWidth="1"/>
    <col min="3065" max="3065" width="7.5" style="12" bestFit="1" customWidth="1"/>
    <col min="3066" max="3067" width="9.125" style="12"/>
    <col min="3068" max="3068" width="5.5" style="12" customWidth="1"/>
    <col min="3069" max="3069" width="9.125" style="12"/>
    <col min="3070" max="3070" width="64.375" style="12" customWidth="1"/>
    <col min="3071" max="3071" width="8.125" style="12" customWidth="1"/>
    <col min="3072" max="3072" width="0" style="12" hidden="1" customWidth="1"/>
    <col min="3073" max="3073" width="4.875" style="12" customWidth="1"/>
    <col min="3074" max="3315" width="9.125" style="12"/>
    <col min="3316" max="3316" width="9" style="12" customWidth="1"/>
    <col min="3317" max="3317" width="15.625" style="12" customWidth="1"/>
    <col min="3318" max="3318" width="7.5" style="12" customWidth="1"/>
    <col min="3319" max="3319" width="7.625" style="12" customWidth="1"/>
    <col min="3320" max="3320" width="6.5" style="12" bestFit="1" customWidth="1"/>
    <col min="3321" max="3321" width="7.5" style="12" bestFit="1" customWidth="1"/>
    <col min="3322" max="3323" width="9.125" style="12"/>
    <col min="3324" max="3324" width="5.5" style="12" customWidth="1"/>
    <col min="3325" max="3325" width="9.125" style="12"/>
    <col min="3326" max="3326" width="64.375" style="12" customWidth="1"/>
    <col min="3327" max="3327" width="8.125" style="12" customWidth="1"/>
    <col min="3328" max="3328" width="0" style="12" hidden="1" customWidth="1"/>
    <col min="3329" max="3329" width="4.875" style="12" customWidth="1"/>
    <col min="3330" max="3571" width="9.125" style="12"/>
    <col min="3572" max="3572" width="9" style="12" customWidth="1"/>
    <col min="3573" max="3573" width="15.625" style="12" customWidth="1"/>
    <col min="3574" max="3574" width="7.5" style="12" customWidth="1"/>
    <col min="3575" max="3575" width="7.625" style="12" customWidth="1"/>
    <col min="3576" max="3576" width="6.5" style="12" bestFit="1" customWidth="1"/>
    <col min="3577" max="3577" width="7.5" style="12" bestFit="1" customWidth="1"/>
    <col min="3578" max="3579" width="9.125" style="12"/>
    <col min="3580" max="3580" width="5.5" style="12" customWidth="1"/>
    <col min="3581" max="3581" width="9.125" style="12"/>
    <col min="3582" max="3582" width="64.375" style="12" customWidth="1"/>
    <col min="3583" max="3583" width="8.125" style="12" customWidth="1"/>
    <col min="3584" max="3584" width="0" style="12" hidden="1" customWidth="1"/>
    <col min="3585" max="3585" width="4.875" style="12" customWidth="1"/>
    <col min="3586" max="3827" width="9.125" style="12"/>
    <col min="3828" max="3828" width="9" style="12" customWidth="1"/>
    <col min="3829" max="3829" width="15.625" style="12" customWidth="1"/>
    <col min="3830" max="3830" width="7.5" style="12" customWidth="1"/>
    <col min="3831" max="3831" width="7.625" style="12" customWidth="1"/>
    <col min="3832" max="3832" width="6.5" style="12" bestFit="1" customWidth="1"/>
    <col min="3833" max="3833" width="7.5" style="12" bestFit="1" customWidth="1"/>
    <col min="3834" max="3835" width="9.125" style="12"/>
    <col min="3836" max="3836" width="5.5" style="12" customWidth="1"/>
    <col min="3837" max="3837" width="9.125" style="12"/>
    <col min="3838" max="3838" width="64.375" style="12" customWidth="1"/>
    <col min="3839" max="3839" width="8.125" style="12" customWidth="1"/>
    <col min="3840" max="3840" width="0" style="12" hidden="1" customWidth="1"/>
    <col min="3841" max="3841" width="4.875" style="12" customWidth="1"/>
    <col min="3842" max="4083" width="9.125" style="12"/>
    <col min="4084" max="4084" width="9" style="12" customWidth="1"/>
    <col min="4085" max="4085" width="15.625" style="12" customWidth="1"/>
    <col min="4086" max="4086" width="7.5" style="12" customWidth="1"/>
    <col min="4087" max="4087" width="7.625" style="12" customWidth="1"/>
    <col min="4088" max="4088" width="6.5" style="12" bestFit="1" customWidth="1"/>
    <col min="4089" max="4089" width="7.5" style="12" bestFit="1" customWidth="1"/>
    <col min="4090" max="4091" width="9.125" style="12"/>
    <col min="4092" max="4092" width="5.5" style="12" customWidth="1"/>
    <col min="4093" max="4093" width="9.125" style="12"/>
    <col min="4094" max="4094" width="64.375" style="12" customWidth="1"/>
    <col min="4095" max="4095" width="8.125" style="12" customWidth="1"/>
    <col min="4096" max="4096" width="0" style="12" hidden="1" customWidth="1"/>
    <col min="4097" max="4097" width="4.875" style="12" customWidth="1"/>
    <col min="4098" max="4339" width="9.125" style="12"/>
    <col min="4340" max="4340" width="9" style="12" customWidth="1"/>
    <col min="4341" max="4341" width="15.625" style="12" customWidth="1"/>
    <col min="4342" max="4342" width="7.5" style="12" customWidth="1"/>
    <col min="4343" max="4343" width="7.625" style="12" customWidth="1"/>
    <col min="4344" max="4344" width="6.5" style="12" bestFit="1" customWidth="1"/>
    <col min="4345" max="4345" width="7.5" style="12" bestFit="1" customWidth="1"/>
    <col min="4346" max="4347" width="9.125" style="12"/>
    <col min="4348" max="4348" width="5.5" style="12" customWidth="1"/>
    <col min="4349" max="4349" width="9.125" style="12"/>
    <col min="4350" max="4350" width="64.375" style="12" customWidth="1"/>
    <col min="4351" max="4351" width="8.125" style="12" customWidth="1"/>
    <col min="4352" max="4352" width="0" style="12" hidden="1" customWidth="1"/>
    <col min="4353" max="4353" width="4.875" style="12" customWidth="1"/>
    <col min="4354" max="4595" width="9.125" style="12"/>
    <col min="4596" max="4596" width="9" style="12" customWidth="1"/>
    <col min="4597" max="4597" width="15.625" style="12" customWidth="1"/>
    <col min="4598" max="4598" width="7.5" style="12" customWidth="1"/>
    <col min="4599" max="4599" width="7.625" style="12" customWidth="1"/>
    <col min="4600" max="4600" width="6.5" style="12" bestFit="1" customWidth="1"/>
    <col min="4601" max="4601" width="7.5" style="12" bestFit="1" customWidth="1"/>
    <col min="4602" max="4603" width="9.125" style="12"/>
    <col min="4604" max="4604" width="5.5" style="12" customWidth="1"/>
    <col min="4605" max="4605" width="9.125" style="12"/>
    <col min="4606" max="4606" width="64.375" style="12" customWidth="1"/>
    <col min="4607" max="4607" width="8.125" style="12" customWidth="1"/>
    <col min="4608" max="4608" width="0" style="12" hidden="1" customWidth="1"/>
    <col min="4609" max="4609" width="4.875" style="12" customWidth="1"/>
    <col min="4610" max="4851" width="9.125" style="12"/>
    <col min="4852" max="4852" width="9" style="12" customWidth="1"/>
    <col min="4853" max="4853" width="15.625" style="12" customWidth="1"/>
    <col min="4854" max="4854" width="7.5" style="12" customWidth="1"/>
    <col min="4855" max="4855" width="7.625" style="12" customWidth="1"/>
    <col min="4856" max="4856" width="6.5" style="12" bestFit="1" customWidth="1"/>
    <col min="4857" max="4857" width="7.5" style="12" bestFit="1" customWidth="1"/>
    <col min="4858" max="4859" width="9.125" style="12"/>
    <col min="4860" max="4860" width="5.5" style="12" customWidth="1"/>
    <col min="4861" max="4861" width="9.125" style="12"/>
    <col min="4862" max="4862" width="64.375" style="12" customWidth="1"/>
    <col min="4863" max="4863" width="8.125" style="12" customWidth="1"/>
    <col min="4864" max="4864" width="0" style="12" hidden="1" customWidth="1"/>
    <col min="4865" max="4865" width="4.875" style="12" customWidth="1"/>
    <col min="4866" max="5107" width="9.125" style="12"/>
    <col min="5108" max="5108" width="9" style="12" customWidth="1"/>
    <col min="5109" max="5109" width="15.625" style="12" customWidth="1"/>
    <col min="5110" max="5110" width="7.5" style="12" customWidth="1"/>
    <col min="5111" max="5111" width="7.625" style="12" customWidth="1"/>
    <col min="5112" max="5112" width="6.5" style="12" bestFit="1" customWidth="1"/>
    <col min="5113" max="5113" width="7.5" style="12" bestFit="1" customWidth="1"/>
    <col min="5114" max="5115" width="9.125" style="12"/>
    <col min="5116" max="5116" width="5.5" style="12" customWidth="1"/>
    <col min="5117" max="5117" width="9.125" style="12"/>
    <col min="5118" max="5118" width="64.375" style="12" customWidth="1"/>
    <col min="5119" max="5119" width="8.125" style="12" customWidth="1"/>
    <col min="5120" max="5120" width="0" style="12" hidden="1" customWidth="1"/>
    <col min="5121" max="5121" width="4.875" style="12" customWidth="1"/>
    <col min="5122" max="5363" width="9.125" style="12"/>
    <col min="5364" max="5364" width="9" style="12" customWidth="1"/>
    <col min="5365" max="5365" width="15.625" style="12" customWidth="1"/>
    <col min="5366" max="5366" width="7.5" style="12" customWidth="1"/>
    <col min="5367" max="5367" width="7.625" style="12" customWidth="1"/>
    <col min="5368" max="5368" width="6.5" style="12" bestFit="1" customWidth="1"/>
    <col min="5369" max="5369" width="7.5" style="12" bestFit="1" customWidth="1"/>
    <col min="5370" max="5371" width="9.125" style="12"/>
    <col min="5372" max="5372" width="5.5" style="12" customWidth="1"/>
    <col min="5373" max="5373" width="9.125" style="12"/>
    <col min="5374" max="5374" width="64.375" style="12" customWidth="1"/>
    <col min="5375" max="5375" width="8.125" style="12" customWidth="1"/>
    <col min="5376" max="5376" width="0" style="12" hidden="1" customWidth="1"/>
    <col min="5377" max="5377" width="4.875" style="12" customWidth="1"/>
    <col min="5378" max="5619" width="9.125" style="12"/>
    <col min="5620" max="5620" width="9" style="12" customWidth="1"/>
    <col min="5621" max="5621" width="15.625" style="12" customWidth="1"/>
    <col min="5622" max="5622" width="7.5" style="12" customWidth="1"/>
    <col min="5623" max="5623" width="7.625" style="12" customWidth="1"/>
    <col min="5624" max="5624" width="6.5" style="12" bestFit="1" customWidth="1"/>
    <col min="5625" max="5625" width="7.5" style="12" bestFit="1" customWidth="1"/>
    <col min="5626" max="5627" width="9.125" style="12"/>
    <col min="5628" max="5628" width="5.5" style="12" customWidth="1"/>
    <col min="5629" max="5629" width="9.125" style="12"/>
    <col min="5630" max="5630" width="64.375" style="12" customWidth="1"/>
    <col min="5631" max="5631" width="8.125" style="12" customWidth="1"/>
    <col min="5632" max="5632" width="0" style="12" hidden="1" customWidth="1"/>
    <col min="5633" max="5633" width="4.875" style="12" customWidth="1"/>
    <col min="5634" max="5875" width="9.125" style="12"/>
    <col min="5876" max="5876" width="9" style="12" customWidth="1"/>
    <col min="5877" max="5877" width="15.625" style="12" customWidth="1"/>
    <col min="5878" max="5878" width="7.5" style="12" customWidth="1"/>
    <col min="5879" max="5879" width="7.625" style="12" customWidth="1"/>
    <col min="5880" max="5880" width="6.5" style="12" bestFit="1" customWidth="1"/>
    <col min="5881" max="5881" width="7.5" style="12" bestFit="1" customWidth="1"/>
    <col min="5882" max="5883" width="9.125" style="12"/>
    <col min="5884" max="5884" width="5.5" style="12" customWidth="1"/>
    <col min="5885" max="5885" width="9.125" style="12"/>
    <col min="5886" max="5886" width="64.375" style="12" customWidth="1"/>
    <col min="5887" max="5887" width="8.125" style="12" customWidth="1"/>
    <col min="5888" max="5888" width="0" style="12" hidden="1" customWidth="1"/>
    <col min="5889" max="5889" width="4.875" style="12" customWidth="1"/>
    <col min="5890" max="6131" width="9.125" style="12"/>
    <col min="6132" max="6132" width="9" style="12" customWidth="1"/>
    <col min="6133" max="6133" width="15.625" style="12" customWidth="1"/>
    <col min="6134" max="6134" width="7.5" style="12" customWidth="1"/>
    <col min="6135" max="6135" width="7.625" style="12" customWidth="1"/>
    <col min="6136" max="6136" width="6.5" style="12" bestFit="1" customWidth="1"/>
    <col min="6137" max="6137" width="7.5" style="12" bestFit="1" customWidth="1"/>
    <col min="6138" max="6139" width="9.125" style="12"/>
    <col min="6140" max="6140" width="5.5" style="12" customWidth="1"/>
    <col min="6141" max="6141" width="9.125" style="12"/>
    <col min="6142" max="6142" width="64.375" style="12" customWidth="1"/>
    <col min="6143" max="6143" width="8.125" style="12" customWidth="1"/>
    <col min="6144" max="6144" width="0" style="12" hidden="1" customWidth="1"/>
    <col min="6145" max="6145" width="4.875" style="12" customWidth="1"/>
    <col min="6146" max="6387" width="9.125" style="12"/>
    <col min="6388" max="6388" width="9" style="12" customWidth="1"/>
    <col min="6389" max="6389" width="15.625" style="12" customWidth="1"/>
    <col min="6390" max="6390" width="7.5" style="12" customWidth="1"/>
    <col min="6391" max="6391" width="7.625" style="12" customWidth="1"/>
    <col min="6392" max="6392" width="6.5" style="12" bestFit="1" customWidth="1"/>
    <col min="6393" max="6393" width="7.5" style="12" bestFit="1" customWidth="1"/>
    <col min="6394" max="6395" width="9.125" style="12"/>
    <col min="6396" max="6396" width="5.5" style="12" customWidth="1"/>
    <col min="6397" max="6397" width="9.125" style="12"/>
    <col min="6398" max="6398" width="64.375" style="12" customWidth="1"/>
    <col min="6399" max="6399" width="8.125" style="12" customWidth="1"/>
    <col min="6400" max="6400" width="0" style="12" hidden="1" customWidth="1"/>
    <col min="6401" max="6401" width="4.875" style="12" customWidth="1"/>
    <col min="6402" max="6643" width="9.125" style="12"/>
    <col min="6644" max="6644" width="9" style="12" customWidth="1"/>
    <col min="6645" max="6645" width="15.625" style="12" customWidth="1"/>
    <col min="6646" max="6646" width="7.5" style="12" customWidth="1"/>
    <col min="6647" max="6647" width="7.625" style="12" customWidth="1"/>
    <col min="6648" max="6648" width="6.5" style="12" bestFit="1" customWidth="1"/>
    <col min="6649" max="6649" width="7.5" style="12" bestFit="1" customWidth="1"/>
    <col min="6650" max="6651" width="9.125" style="12"/>
    <col min="6652" max="6652" width="5.5" style="12" customWidth="1"/>
    <col min="6653" max="6653" width="9.125" style="12"/>
    <col min="6654" max="6654" width="64.375" style="12" customWidth="1"/>
    <col min="6655" max="6655" width="8.125" style="12" customWidth="1"/>
    <col min="6656" max="6656" width="0" style="12" hidden="1" customWidth="1"/>
    <col min="6657" max="6657" width="4.875" style="12" customWidth="1"/>
    <col min="6658" max="6899" width="9.125" style="12"/>
    <col min="6900" max="6900" width="9" style="12" customWidth="1"/>
    <col min="6901" max="6901" width="15.625" style="12" customWidth="1"/>
    <col min="6902" max="6902" width="7.5" style="12" customWidth="1"/>
    <col min="6903" max="6903" width="7.625" style="12" customWidth="1"/>
    <col min="6904" max="6904" width="6.5" style="12" bestFit="1" customWidth="1"/>
    <col min="6905" max="6905" width="7.5" style="12" bestFit="1" customWidth="1"/>
    <col min="6906" max="6907" width="9.125" style="12"/>
    <col min="6908" max="6908" width="5.5" style="12" customWidth="1"/>
    <col min="6909" max="6909" width="9.125" style="12"/>
    <col min="6910" max="6910" width="64.375" style="12" customWidth="1"/>
    <col min="6911" max="6911" width="8.125" style="12" customWidth="1"/>
    <col min="6912" max="6912" width="0" style="12" hidden="1" customWidth="1"/>
    <col min="6913" max="6913" width="4.875" style="12" customWidth="1"/>
    <col min="6914" max="7155" width="9.125" style="12"/>
    <col min="7156" max="7156" width="9" style="12" customWidth="1"/>
    <col min="7157" max="7157" width="15.625" style="12" customWidth="1"/>
    <col min="7158" max="7158" width="7.5" style="12" customWidth="1"/>
    <col min="7159" max="7159" width="7.625" style="12" customWidth="1"/>
    <col min="7160" max="7160" width="6.5" style="12" bestFit="1" customWidth="1"/>
    <col min="7161" max="7161" width="7.5" style="12" bestFit="1" customWidth="1"/>
    <col min="7162" max="7163" width="9.125" style="12"/>
    <col min="7164" max="7164" width="5.5" style="12" customWidth="1"/>
    <col min="7165" max="7165" width="9.125" style="12"/>
    <col min="7166" max="7166" width="64.375" style="12" customWidth="1"/>
    <col min="7167" max="7167" width="8.125" style="12" customWidth="1"/>
    <col min="7168" max="7168" width="0" style="12" hidden="1" customWidth="1"/>
    <col min="7169" max="7169" width="4.875" style="12" customWidth="1"/>
    <col min="7170" max="7411" width="9.125" style="12"/>
    <col min="7412" max="7412" width="9" style="12" customWidth="1"/>
    <col min="7413" max="7413" width="15.625" style="12" customWidth="1"/>
    <col min="7414" max="7414" width="7.5" style="12" customWidth="1"/>
    <col min="7415" max="7415" width="7.625" style="12" customWidth="1"/>
    <col min="7416" max="7416" width="6.5" style="12" bestFit="1" customWidth="1"/>
    <col min="7417" max="7417" width="7.5" style="12" bestFit="1" customWidth="1"/>
    <col min="7418" max="7419" width="9.125" style="12"/>
    <col min="7420" max="7420" width="5.5" style="12" customWidth="1"/>
    <col min="7421" max="7421" width="9.125" style="12"/>
    <col min="7422" max="7422" width="64.375" style="12" customWidth="1"/>
    <col min="7423" max="7423" width="8.125" style="12" customWidth="1"/>
    <col min="7424" max="7424" width="0" style="12" hidden="1" customWidth="1"/>
    <col min="7425" max="7425" width="4.875" style="12" customWidth="1"/>
    <col min="7426" max="7667" width="9.125" style="12"/>
    <col min="7668" max="7668" width="9" style="12" customWidth="1"/>
    <col min="7669" max="7669" width="15.625" style="12" customWidth="1"/>
    <col min="7670" max="7670" width="7.5" style="12" customWidth="1"/>
    <col min="7671" max="7671" width="7.625" style="12" customWidth="1"/>
    <col min="7672" max="7672" width="6.5" style="12" bestFit="1" customWidth="1"/>
    <col min="7673" max="7673" width="7.5" style="12" bestFit="1" customWidth="1"/>
    <col min="7674" max="7675" width="9.125" style="12"/>
    <col min="7676" max="7676" width="5.5" style="12" customWidth="1"/>
    <col min="7677" max="7677" width="9.125" style="12"/>
    <col min="7678" max="7678" width="64.375" style="12" customWidth="1"/>
    <col min="7679" max="7679" width="8.125" style="12" customWidth="1"/>
    <col min="7680" max="7680" width="0" style="12" hidden="1" customWidth="1"/>
    <col min="7681" max="7681" width="4.875" style="12" customWidth="1"/>
    <col min="7682" max="7923" width="9.125" style="12"/>
    <col min="7924" max="7924" width="9" style="12" customWidth="1"/>
    <col min="7925" max="7925" width="15.625" style="12" customWidth="1"/>
    <col min="7926" max="7926" width="7.5" style="12" customWidth="1"/>
    <col min="7927" max="7927" width="7.625" style="12" customWidth="1"/>
    <col min="7928" max="7928" width="6.5" style="12" bestFit="1" customWidth="1"/>
    <col min="7929" max="7929" width="7.5" style="12" bestFit="1" customWidth="1"/>
    <col min="7930" max="7931" width="9.125" style="12"/>
    <col min="7932" max="7932" width="5.5" style="12" customWidth="1"/>
    <col min="7933" max="7933" width="9.125" style="12"/>
    <col min="7934" max="7934" width="64.375" style="12" customWidth="1"/>
    <col min="7935" max="7935" width="8.125" style="12" customWidth="1"/>
    <col min="7936" max="7936" width="0" style="12" hidden="1" customWidth="1"/>
    <col min="7937" max="7937" width="4.875" style="12" customWidth="1"/>
    <col min="7938" max="8179" width="9.125" style="12"/>
    <col min="8180" max="8180" width="9" style="12" customWidth="1"/>
    <col min="8181" max="8181" width="15.625" style="12" customWidth="1"/>
    <col min="8182" max="8182" width="7.5" style="12" customWidth="1"/>
    <col min="8183" max="8183" width="7.625" style="12" customWidth="1"/>
    <col min="8184" max="8184" width="6.5" style="12" bestFit="1" customWidth="1"/>
    <col min="8185" max="8185" width="7.5" style="12" bestFit="1" customWidth="1"/>
    <col min="8186" max="8187" width="9.125" style="12"/>
    <col min="8188" max="8188" width="5.5" style="12" customWidth="1"/>
    <col min="8189" max="8189" width="9.125" style="12"/>
    <col min="8190" max="8190" width="64.375" style="12" customWidth="1"/>
    <col min="8191" max="8191" width="8.125" style="12" customWidth="1"/>
    <col min="8192" max="8192" width="0" style="12" hidden="1" customWidth="1"/>
    <col min="8193" max="8193" width="4.875" style="12" customWidth="1"/>
    <col min="8194" max="8435" width="9.125" style="12"/>
    <col min="8436" max="8436" width="9" style="12" customWidth="1"/>
    <col min="8437" max="8437" width="15.625" style="12" customWidth="1"/>
    <col min="8438" max="8438" width="7.5" style="12" customWidth="1"/>
    <col min="8439" max="8439" width="7.625" style="12" customWidth="1"/>
    <col min="8440" max="8440" width="6.5" style="12" bestFit="1" customWidth="1"/>
    <col min="8441" max="8441" width="7.5" style="12" bestFit="1" customWidth="1"/>
    <col min="8442" max="8443" width="9.125" style="12"/>
    <col min="8444" max="8444" width="5.5" style="12" customWidth="1"/>
    <col min="8445" max="8445" width="9.125" style="12"/>
    <col min="8446" max="8446" width="64.375" style="12" customWidth="1"/>
    <col min="8447" max="8447" width="8.125" style="12" customWidth="1"/>
    <col min="8448" max="8448" width="0" style="12" hidden="1" customWidth="1"/>
    <col min="8449" max="8449" width="4.875" style="12" customWidth="1"/>
    <col min="8450" max="8691" width="9.125" style="12"/>
    <col min="8692" max="8692" width="9" style="12" customWidth="1"/>
    <col min="8693" max="8693" width="15.625" style="12" customWidth="1"/>
    <col min="8694" max="8694" width="7.5" style="12" customWidth="1"/>
    <col min="8695" max="8695" width="7.625" style="12" customWidth="1"/>
    <col min="8696" max="8696" width="6.5" style="12" bestFit="1" customWidth="1"/>
    <col min="8697" max="8697" width="7.5" style="12" bestFit="1" customWidth="1"/>
    <col min="8698" max="8699" width="9.125" style="12"/>
    <col min="8700" max="8700" width="5.5" style="12" customWidth="1"/>
    <col min="8701" max="8701" width="9.125" style="12"/>
    <col min="8702" max="8702" width="64.375" style="12" customWidth="1"/>
    <col min="8703" max="8703" width="8.125" style="12" customWidth="1"/>
    <col min="8704" max="8704" width="0" style="12" hidden="1" customWidth="1"/>
    <col min="8705" max="8705" width="4.875" style="12" customWidth="1"/>
    <col min="8706" max="8947" width="9.125" style="12"/>
    <col min="8948" max="8948" width="9" style="12" customWidth="1"/>
    <col min="8949" max="8949" width="15.625" style="12" customWidth="1"/>
    <col min="8950" max="8950" width="7.5" style="12" customWidth="1"/>
    <col min="8951" max="8951" width="7.625" style="12" customWidth="1"/>
    <col min="8952" max="8952" width="6.5" style="12" bestFit="1" customWidth="1"/>
    <col min="8953" max="8953" width="7.5" style="12" bestFit="1" customWidth="1"/>
    <col min="8954" max="8955" width="9.125" style="12"/>
    <col min="8956" max="8956" width="5.5" style="12" customWidth="1"/>
    <col min="8957" max="8957" width="9.125" style="12"/>
    <col min="8958" max="8958" width="64.375" style="12" customWidth="1"/>
    <col min="8959" max="8959" width="8.125" style="12" customWidth="1"/>
    <col min="8960" max="8960" width="0" style="12" hidden="1" customWidth="1"/>
    <col min="8961" max="8961" width="4.875" style="12" customWidth="1"/>
    <col min="8962" max="9203" width="9.125" style="12"/>
    <col min="9204" max="9204" width="9" style="12" customWidth="1"/>
    <col min="9205" max="9205" width="15.625" style="12" customWidth="1"/>
    <col min="9206" max="9206" width="7.5" style="12" customWidth="1"/>
    <col min="9207" max="9207" width="7.625" style="12" customWidth="1"/>
    <col min="9208" max="9208" width="6.5" style="12" bestFit="1" customWidth="1"/>
    <col min="9209" max="9209" width="7.5" style="12" bestFit="1" customWidth="1"/>
    <col min="9210" max="9211" width="9.125" style="12"/>
    <col min="9212" max="9212" width="5.5" style="12" customWidth="1"/>
    <col min="9213" max="9213" width="9.125" style="12"/>
    <col min="9214" max="9214" width="64.375" style="12" customWidth="1"/>
    <col min="9215" max="9215" width="8.125" style="12" customWidth="1"/>
    <col min="9216" max="9216" width="0" style="12" hidden="1" customWidth="1"/>
    <col min="9217" max="9217" width="4.875" style="12" customWidth="1"/>
    <col min="9218" max="9459" width="9.125" style="12"/>
    <col min="9460" max="9460" width="9" style="12" customWidth="1"/>
    <col min="9461" max="9461" width="15.625" style="12" customWidth="1"/>
    <col min="9462" max="9462" width="7.5" style="12" customWidth="1"/>
    <col min="9463" max="9463" width="7.625" style="12" customWidth="1"/>
    <col min="9464" max="9464" width="6.5" style="12" bestFit="1" customWidth="1"/>
    <col min="9465" max="9465" width="7.5" style="12" bestFit="1" customWidth="1"/>
    <col min="9466" max="9467" width="9.125" style="12"/>
    <col min="9468" max="9468" width="5.5" style="12" customWidth="1"/>
    <col min="9469" max="9469" width="9.125" style="12"/>
    <col min="9470" max="9470" width="64.375" style="12" customWidth="1"/>
    <col min="9471" max="9471" width="8.125" style="12" customWidth="1"/>
    <col min="9472" max="9472" width="0" style="12" hidden="1" customWidth="1"/>
    <col min="9473" max="9473" width="4.875" style="12" customWidth="1"/>
    <col min="9474" max="9715" width="9.125" style="12"/>
    <col min="9716" max="9716" width="9" style="12" customWidth="1"/>
    <col min="9717" max="9717" width="15.625" style="12" customWidth="1"/>
    <col min="9718" max="9718" width="7.5" style="12" customWidth="1"/>
    <col min="9719" max="9719" width="7.625" style="12" customWidth="1"/>
    <col min="9720" max="9720" width="6.5" style="12" bestFit="1" customWidth="1"/>
    <col min="9721" max="9721" width="7.5" style="12" bestFit="1" customWidth="1"/>
    <col min="9722" max="9723" width="9.125" style="12"/>
    <col min="9724" max="9724" width="5.5" style="12" customWidth="1"/>
    <col min="9725" max="9725" width="9.125" style="12"/>
    <col min="9726" max="9726" width="64.375" style="12" customWidth="1"/>
    <col min="9727" max="9727" width="8.125" style="12" customWidth="1"/>
    <col min="9728" max="9728" width="0" style="12" hidden="1" customWidth="1"/>
    <col min="9729" max="9729" width="4.875" style="12" customWidth="1"/>
    <col min="9730" max="9971" width="9.125" style="12"/>
    <col min="9972" max="9972" width="9" style="12" customWidth="1"/>
    <col min="9973" max="9973" width="15.625" style="12" customWidth="1"/>
    <col min="9974" max="9974" width="7.5" style="12" customWidth="1"/>
    <col min="9975" max="9975" width="7.625" style="12" customWidth="1"/>
    <col min="9976" max="9976" width="6.5" style="12" bestFit="1" customWidth="1"/>
    <col min="9977" max="9977" width="7.5" style="12" bestFit="1" customWidth="1"/>
    <col min="9978" max="9979" width="9.125" style="12"/>
    <col min="9980" max="9980" width="5.5" style="12" customWidth="1"/>
    <col min="9981" max="9981" width="9.125" style="12"/>
    <col min="9982" max="9982" width="64.375" style="12" customWidth="1"/>
    <col min="9983" max="9983" width="8.125" style="12" customWidth="1"/>
    <col min="9984" max="9984" width="0" style="12" hidden="1" customWidth="1"/>
    <col min="9985" max="9985" width="4.875" style="12" customWidth="1"/>
    <col min="9986" max="10227" width="9.125" style="12"/>
    <col min="10228" max="10228" width="9" style="12" customWidth="1"/>
    <col min="10229" max="10229" width="15.625" style="12" customWidth="1"/>
    <col min="10230" max="10230" width="7.5" style="12" customWidth="1"/>
    <col min="10231" max="10231" width="7.625" style="12" customWidth="1"/>
    <col min="10232" max="10232" width="6.5" style="12" bestFit="1" customWidth="1"/>
    <col min="10233" max="10233" width="7.5" style="12" bestFit="1" customWidth="1"/>
    <col min="10234" max="10235" width="9.125" style="12"/>
    <col min="10236" max="10236" width="5.5" style="12" customWidth="1"/>
    <col min="10237" max="10237" width="9.125" style="12"/>
    <col min="10238" max="10238" width="64.375" style="12" customWidth="1"/>
    <col min="10239" max="10239" width="8.125" style="12" customWidth="1"/>
    <col min="10240" max="10240" width="0" style="12" hidden="1" customWidth="1"/>
    <col min="10241" max="10241" width="4.875" style="12" customWidth="1"/>
    <col min="10242" max="10483" width="9.125" style="12"/>
    <col min="10484" max="10484" width="9" style="12" customWidth="1"/>
    <col min="10485" max="10485" width="15.625" style="12" customWidth="1"/>
    <col min="10486" max="10486" width="7.5" style="12" customWidth="1"/>
    <col min="10487" max="10487" width="7.625" style="12" customWidth="1"/>
    <col min="10488" max="10488" width="6.5" style="12" bestFit="1" customWidth="1"/>
    <col min="10489" max="10489" width="7.5" style="12" bestFit="1" customWidth="1"/>
    <col min="10490" max="10491" width="9.125" style="12"/>
    <col min="10492" max="10492" width="5.5" style="12" customWidth="1"/>
    <col min="10493" max="10493" width="9.125" style="12"/>
    <col min="10494" max="10494" width="64.375" style="12" customWidth="1"/>
    <col min="10495" max="10495" width="8.125" style="12" customWidth="1"/>
    <col min="10496" max="10496" width="0" style="12" hidden="1" customWidth="1"/>
    <col min="10497" max="10497" width="4.875" style="12" customWidth="1"/>
    <col min="10498" max="10739" width="9.125" style="12"/>
    <col min="10740" max="10740" width="9" style="12" customWidth="1"/>
    <col min="10741" max="10741" width="15.625" style="12" customWidth="1"/>
    <col min="10742" max="10742" width="7.5" style="12" customWidth="1"/>
    <col min="10743" max="10743" width="7.625" style="12" customWidth="1"/>
    <col min="10744" max="10744" width="6.5" style="12" bestFit="1" customWidth="1"/>
    <col min="10745" max="10745" width="7.5" style="12" bestFit="1" customWidth="1"/>
    <col min="10746" max="10747" width="9.125" style="12"/>
    <col min="10748" max="10748" width="5.5" style="12" customWidth="1"/>
    <col min="10749" max="10749" width="9.125" style="12"/>
    <col min="10750" max="10750" width="64.375" style="12" customWidth="1"/>
    <col min="10751" max="10751" width="8.125" style="12" customWidth="1"/>
    <col min="10752" max="10752" width="0" style="12" hidden="1" customWidth="1"/>
    <col min="10753" max="10753" width="4.875" style="12" customWidth="1"/>
    <col min="10754" max="10995" width="9.125" style="12"/>
    <col min="10996" max="10996" width="9" style="12" customWidth="1"/>
    <col min="10997" max="10997" width="15.625" style="12" customWidth="1"/>
    <col min="10998" max="10998" width="7.5" style="12" customWidth="1"/>
    <col min="10999" max="10999" width="7.625" style="12" customWidth="1"/>
    <col min="11000" max="11000" width="6.5" style="12" bestFit="1" customWidth="1"/>
    <col min="11001" max="11001" width="7.5" style="12" bestFit="1" customWidth="1"/>
    <col min="11002" max="11003" width="9.125" style="12"/>
    <col min="11004" max="11004" width="5.5" style="12" customWidth="1"/>
    <col min="11005" max="11005" width="9.125" style="12"/>
    <col min="11006" max="11006" width="64.375" style="12" customWidth="1"/>
    <col min="11007" max="11007" width="8.125" style="12" customWidth="1"/>
    <col min="11008" max="11008" width="0" style="12" hidden="1" customWidth="1"/>
    <col min="11009" max="11009" width="4.875" style="12" customWidth="1"/>
    <col min="11010" max="11251" width="9.125" style="12"/>
    <col min="11252" max="11252" width="9" style="12" customWidth="1"/>
    <col min="11253" max="11253" width="15.625" style="12" customWidth="1"/>
    <col min="11254" max="11254" width="7.5" style="12" customWidth="1"/>
    <col min="11255" max="11255" width="7.625" style="12" customWidth="1"/>
    <col min="11256" max="11256" width="6.5" style="12" bestFit="1" customWidth="1"/>
    <col min="11257" max="11257" width="7.5" style="12" bestFit="1" customWidth="1"/>
    <col min="11258" max="11259" width="9.125" style="12"/>
    <col min="11260" max="11260" width="5.5" style="12" customWidth="1"/>
    <col min="11261" max="11261" width="9.125" style="12"/>
    <col min="11262" max="11262" width="64.375" style="12" customWidth="1"/>
    <col min="11263" max="11263" width="8.125" style="12" customWidth="1"/>
    <col min="11264" max="11264" width="0" style="12" hidden="1" customWidth="1"/>
    <col min="11265" max="11265" width="4.875" style="12" customWidth="1"/>
    <col min="11266" max="11507" width="9.125" style="12"/>
    <col min="11508" max="11508" width="9" style="12" customWidth="1"/>
    <col min="11509" max="11509" width="15.625" style="12" customWidth="1"/>
    <col min="11510" max="11510" width="7.5" style="12" customWidth="1"/>
    <col min="11511" max="11511" width="7.625" style="12" customWidth="1"/>
    <col min="11512" max="11512" width="6.5" style="12" bestFit="1" customWidth="1"/>
    <col min="11513" max="11513" width="7.5" style="12" bestFit="1" customWidth="1"/>
    <col min="11514" max="11515" width="9.125" style="12"/>
    <col min="11516" max="11516" width="5.5" style="12" customWidth="1"/>
    <col min="11517" max="11517" width="9.125" style="12"/>
    <col min="11518" max="11518" width="64.375" style="12" customWidth="1"/>
    <col min="11519" max="11519" width="8.125" style="12" customWidth="1"/>
    <col min="11520" max="11520" width="0" style="12" hidden="1" customWidth="1"/>
    <col min="11521" max="11521" width="4.875" style="12" customWidth="1"/>
    <col min="11522" max="11763" width="9.125" style="12"/>
    <col min="11764" max="11764" width="9" style="12" customWidth="1"/>
    <col min="11765" max="11765" width="15.625" style="12" customWidth="1"/>
    <col min="11766" max="11766" width="7.5" style="12" customWidth="1"/>
    <col min="11767" max="11767" width="7.625" style="12" customWidth="1"/>
    <col min="11768" max="11768" width="6.5" style="12" bestFit="1" customWidth="1"/>
    <col min="11769" max="11769" width="7.5" style="12" bestFit="1" customWidth="1"/>
    <col min="11770" max="11771" width="9.125" style="12"/>
    <col min="11772" max="11772" width="5.5" style="12" customWidth="1"/>
    <col min="11773" max="11773" width="9.125" style="12"/>
    <col min="11774" max="11774" width="64.375" style="12" customWidth="1"/>
    <col min="11775" max="11775" width="8.125" style="12" customWidth="1"/>
    <col min="11776" max="11776" width="0" style="12" hidden="1" customWidth="1"/>
    <col min="11777" max="11777" width="4.875" style="12" customWidth="1"/>
    <col min="11778" max="12019" width="9.125" style="12"/>
    <col min="12020" max="12020" width="9" style="12" customWidth="1"/>
    <col min="12021" max="12021" width="15.625" style="12" customWidth="1"/>
    <col min="12022" max="12022" width="7.5" style="12" customWidth="1"/>
    <col min="12023" max="12023" width="7.625" style="12" customWidth="1"/>
    <col min="12024" max="12024" width="6.5" style="12" bestFit="1" customWidth="1"/>
    <col min="12025" max="12025" width="7.5" style="12" bestFit="1" customWidth="1"/>
    <col min="12026" max="12027" width="9.125" style="12"/>
    <col min="12028" max="12028" width="5.5" style="12" customWidth="1"/>
    <col min="12029" max="12029" width="9.125" style="12"/>
    <col min="12030" max="12030" width="64.375" style="12" customWidth="1"/>
    <col min="12031" max="12031" width="8.125" style="12" customWidth="1"/>
    <col min="12032" max="12032" width="0" style="12" hidden="1" customWidth="1"/>
    <col min="12033" max="12033" width="4.875" style="12" customWidth="1"/>
    <col min="12034" max="12275" width="9.125" style="12"/>
    <col min="12276" max="12276" width="9" style="12" customWidth="1"/>
    <col min="12277" max="12277" width="15.625" style="12" customWidth="1"/>
    <col min="12278" max="12278" width="7.5" style="12" customWidth="1"/>
    <col min="12279" max="12279" width="7.625" style="12" customWidth="1"/>
    <col min="12280" max="12280" width="6.5" style="12" bestFit="1" customWidth="1"/>
    <col min="12281" max="12281" width="7.5" style="12" bestFit="1" customWidth="1"/>
    <col min="12282" max="12283" width="9.125" style="12"/>
    <col min="12284" max="12284" width="5.5" style="12" customWidth="1"/>
    <col min="12285" max="12285" width="9.125" style="12"/>
    <col min="12286" max="12286" width="64.375" style="12" customWidth="1"/>
    <col min="12287" max="12287" width="8.125" style="12" customWidth="1"/>
    <col min="12288" max="12288" width="0" style="12" hidden="1" customWidth="1"/>
    <col min="12289" max="12289" width="4.875" style="12" customWidth="1"/>
    <col min="12290" max="12531" width="9.125" style="12"/>
    <col min="12532" max="12532" width="9" style="12" customWidth="1"/>
    <col min="12533" max="12533" width="15.625" style="12" customWidth="1"/>
    <col min="12534" max="12534" width="7.5" style="12" customWidth="1"/>
    <col min="12535" max="12535" width="7.625" style="12" customWidth="1"/>
    <col min="12536" max="12536" width="6.5" style="12" bestFit="1" customWidth="1"/>
    <col min="12537" max="12537" width="7.5" style="12" bestFit="1" customWidth="1"/>
    <col min="12538" max="12539" width="9.125" style="12"/>
    <col min="12540" max="12540" width="5.5" style="12" customWidth="1"/>
    <col min="12541" max="12541" width="9.125" style="12"/>
    <col min="12542" max="12542" width="64.375" style="12" customWidth="1"/>
    <col min="12543" max="12543" width="8.125" style="12" customWidth="1"/>
    <col min="12544" max="12544" width="0" style="12" hidden="1" customWidth="1"/>
    <col min="12545" max="12545" width="4.875" style="12" customWidth="1"/>
    <col min="12546" max="12787" width="9.125" style="12"/>
    <col min="12788" max="12788" width="9" style="12" customWidth="1"/>
    <col min="12789" max="12789" width="15.625" style="12" customWidth="1"/>
    <col min="12790" max="12790" width="7.5" style="12" customWidth="1"/>
    <col min="12791" max="12791" width="7.625" style="12" customWidth="1"/>
    <col min="12792" max="12792" width="6.5" style="12" bestFit="1" customWidth="1"/>
    <col min="12793" max="12793" width="7.5" style="12" bestFit="1" customWidth="1"/>
    <col min="12794" max="12795" width="9.125" style="12"/>
    <col min="12796" max="12796" width="5.5" style="12" customWidth="1"/>
    <col min="12797" max="12797" width="9.125" style="12"/>
    <col min="12798" max="12798" width="64.375" style="12" customWidth="1"/>
    <col min="12799" max="12799" width="8.125" style="12" customWidth="1"/>
    <col min="12800" max="12800" width="0" style="12" hidden="1" customWidth="1"/>
    <col min="12801" max="12801" width="4.875" style="12" customWidth="1"/>
    <col min="12802" max="13043" width="9.125" style="12"/>
    <col min="13044" max="13044" width="9" style="12" customWidth="1"/>
    <col min="13045" max="13045" width="15.625" style="12" customWidth="1"/>
    <col min="13046" max="13046" width="7.5" style="12" customWidth="1"/>
    <col min="13047" max="13047" width="7.625" style="12" customWidth="1"/>
    <col min="13048" max="13048" width="6.5" style="12" bestFit="1" customWidth="1"/>
    <col min="13049" max="13049" width="7.5" style="12" bestFit="1" customWidth="1"/>
    <col min="13050" max="13051" width="9.125" style="12"/>
    <col min="13052" max="13052" width="5.5" style="12" customWidth="1"/>
    <col min="13053" max="13053" width="9.125" style="12"/>
    <col min="13054" max="13054" width="64.375" style="12" customWidth="1"/>
    <col min="13055" max="13055" width="8.125" style="12" customWidth="1"/>
    <col min="13056" max="13056" width="0" style="12" hidden="1" customWidth="1"/>
    <col min="13057" max="13057" width="4.875" style="12" customWidth="1"/>
    <col min="13058" max="13299" width="9.125" style="12"/>
    <col min="13300" max="13300" width="9" style="12" customWidth="1"/>
    <col min="13301" max="13301" width="15.625" style="12" customWidth="1"/>
    <col min="13302" max="13302" width="7.5" style="12" customWidth="1"/>
    <col min="13303" max="13303" width="7.625" style="12" customWidth="1"/>
    <col min="13304" max="13304" width="6.5" style="12" bestFit="1" customWidth="1"/>
    <col min="13305" max="13305" width="7.5" style="12" bestFit="1" customWidth="1"/>
    <col min="13306" max="13307" width="9.125" style="12"/>
    <col min="13308" max="13308" width="5.5" style="12" customWidth="1"/>
    <col min="13309" max="13309" width="9.125" style="12"/>
    <col min="13310" max="13310" width="64.375" style="12" customWidth="1"/>
    <col min="13311" max="13311" width="8.125" style="12" customWidth="1"/>
    <col min="13312" max="13312" width="0" style="12" hidden="1" customWidth="1"/>
    <col min="13313" max="13313" width="4.875" style="12" customWidth="1"/>
    <col min="13314" max="13555" width="9.125" style="12"/>
    <col min="13556" max="13556" width="9" style="12" customWidth="1"/>
    <col min="13557" max="13557" width="15.625" style="12" customWidth="1"/>
    <col min="13558" max="13558" width="7.5" style="12" customWidth="1"/>
    <col min="13559" max="13559" width="7.625" style="12" customWidth="1"/>
    <col min="13560" max="13560" width="6.5" style="12" bestFit="1" customWidth="1"/>
    <col min="13561" max="13561" width="7.5" style="12" bestFit="1" customWidth="1"/>
    <col min="13562" max="13563" width="9.125" style="12"/>
    <col min="13564" max="13564" width="5.5" style="12" customWidth="1"/>
    <col min="13565" max="13565" width="9.125" style="12"/>
    <col min="13566" max="13566" width="64.375" style="12" customWidth="1"/>
    <col min="13567" max="13567" width="8.125" style="12" customWidth="1"/>
    <col min="13568" max="13568" width="0" style="12" hidden="1" customWidth="1"/>
    <col min="13569" max="13569" width="4.875" style="12" customWidth="1"/>
    <col min="13570" max="13811" width="9.125" style="12"/>
    <col min="13812" max="13812" width="9" style="12" customWidth="1"/>
    <col min="13813" max="13813" width="15.625" style="12" customWidth="1"/>
    <col min="13814" max="13814" width="7.5" style="12" customWidth="1"/>
    <col min="13815" max="13815" width="7.625" style="12" customWidth="1"/>
    <col min="13816" max="13816" width="6.5" style="12" bestFit="1" customWidth="1"/>
    <col min="13817" max="13817" width="7.5" style="12" bestFit="1" customWidth="1"/>
    <col min="13818" max="13819" width="9.125" style="12"/>
    <col min="13820" max="13820" width="5.5" style="12" customWidth="1"/>
    <col min="13821" max="13821" width="9.125" style="12"/>
    <col min="13822" max="13822" width="64.375" style="12" customWidth="1"/>
    <col min="13823" max="13823" width="8.125" style="12" customWidth="1"/>
    <col min="13824" max="13824" width="0" style="12" hidden="1" customWidth="1"/>
    <col min="13825" max="13825" width="4.875" style="12" customWidth="1"/>
    <col min="13826" max="14067" width="9.125" style="12"/>
    <col min="14068" max="14068" width="9" style="12" customWidth="1"/>
    <col min="14069" max="14069" width="15.625" style="12" customWidth="1"/>
    <col min="14070" max="14070" width="7.5" style="12" customWidth="1"/>
    <col min="14071" max="14071" width="7.625" style="12" customWidth="1"/>
    <col min="14072" max="14072" width="6.5" style="12" bestFit="1" customWidth="1"/>
    <col min="14073" max="14073" width="7.5" style="12" bestFit="1" customWidth="1"/>
    <col min="14074" max="14075" width="9.125" style="12"/>
    <col min="14076" max="14076" width="5.5" style="12" customWidth="1"/>
    <col min="14077" max="14077" width="9.125" style="12"/>
    <col min="14078" max="14078" width="64.375" style="12" customWidth="1"/>
    <col min="14079" max="14079" width="8.125" style="12" customWidth="1"/>
    <col min="14080" max="14080" width="0" style="12" hidden="1" customWidth="1"/>
    <col min="14081" max="14081" width="4.875" style="12" customWidth="1"/>
    <col min="14082" max="14323" width="9.125" style="12"/>
    <col min="14324" max="14324" width="9" style="12" customWidth="1"/>
    <col min="14325" max="14325" width="15.625" style="12" customWidth="1"/>
    <col min="14326" max="14326" width="7.5" style="12" customWidth="1"/>
    <col min="14327" max="14327" width="7.625" style="12" customWidth="1"/>
    <col min="14328" max="14328" width="6.5" style="12" bestFit="1" customWidth="1"/>
    <col min="14329" max="14329" width="7.5" style="12" bestFit="1" customWidth="1"/>
    <col min="14330" max="14331" width="9.125" style="12"/>
    <col min="14332" max="14332" width="5.5" style="12" customWidth="1"/>
    <col min="14333" max="14333" width="9.125" style="12"/>
    <col min="14334" max="14334" width="64.375" style="12" customWidth="1"/>
    <col min="14335" max="14335" width="8.125" style="12" customWidth="1"/>
    <col min="14336" max="14336" width="0" style="12" hidden="1" customWidth="1"/>
    <col min="14337" max="14337" width="4.875" style="12" customWidth="1"/>
    <col min="14338" max="14579" width="9.125" style="12"/>
    <col min="14580" max="14580" width="9" style="12" customWidth="1"/>
    <col min="14581" max="14581" width="15.625" style="12" customWidth="1"/>
    <col min="14582" max="14582" width="7.5" style="12" customWidth="1"/>
    <col min="14583" max="14583" width="7.625" style="12" customWidth="1"/>
    <col min="14584" max="14584" width="6.5" style="12" bestFit="1" customWidth="1"/>
    <col min="14585" max="14585" width="7.5" style="12" bestFit="1" customWidth="1"/>
    <col min="14586" max="14587" width="9.125" style="12"/>
    <col min="14588" max="14588" width="5.5" style="12" customWidth="1"/>
    <col min="14589" max="14589" width="9.125" style="12"/>
    <col min="14590" max="14590" width="64.375" style="12" customWidth="1"/>
    <col min="14591" max="14591" width="8.125" style="12" customWidth="1"/>
    <col min="14592" max="14592" width="0" style="12" hidden="1" customWidth="1"/>
    <col min="14593" max="14593" width="4.875" style="12" customWidth="1"/>
    <col min="14594" max="14835" width="9.125" style="12"/>
    <col min="14836" max="14836" width="9" style="12" customWidth="1"/>
    <col min="14837" max="14837" width="15.625" style="12" customWidth="1"/>
    <col min="14838" max="14838" width="7.5" style="12" customWidth="1"/>
    <col min="14839" max="14839" width="7.625" style="12" customWidth="1"/>
    <col min="14840" max="14840" width="6.5" style="12" bestFit="1" customWidth="1"/>
    <col min="14841" max="14841" width="7.5" style="12" bestFit="1" customWidth="1"/>
    <col min="14842" max="14843" width="9.125" style="12"/>
    <col min="14844" max="14844" width="5.5" style="12" customWidth="1"/>
    <col min="14845" max="14845" width="9.125" style="12"/>
    <col min="14846" max="14846" width="64.375" style="12" customWidth="1"/>
    <col min="14847" max="14847" width="8.125" style="12" customWidth="1"/>
    <col min="14848" max="14848" width="0" style="12" hidden="1" customWidth="1"/>
    <col min="14849" max="14849" width="4.875" style="12" customWidth="1"/>
    <col min="14850" max="15091" width="9.125" style="12"/>
    <col min="15092" max="15092" width="9" style="12" customWidth="1"/>
    <col min="15093" max="15093" width="15.625" style="12" customWidth="1"/>
    <col min="15094" max="15094" width="7.5" style="12" customWidth="1"/>
    <col min="15095" max="15095" width="7.625" style="12" customWidth="1"/>
    <col min="15096" max="15096" width="6.5" style="12" bestFit="1" customWidth="1"/>
    <col min="15097" max="15097" width="7.5" style="12" bestFit="1" customWidth="1"/>
    <col min="15098" max="15099" width="9.125" style="12"/>
    <col min="15100" max="15100" width="5.5" style="12" customWidth="1"/>
    <col min="15101" max="15101" width="9.125" style="12"/>
    <col min="15102" max="15102" width="64.375" style="12" customWidth="1"/>
    <col min="15103" max="15103" width="8.125" style="12" customWidth="1"/>
    <col min="15104" max="15104" width="0" style="12" hidden="1" customWidth="1"/>
    <col min="15105" max="15105" width="4.875" style="12" customWidth="1"/>
    <col min="15106" max="15347" width="9.125" style="12"/>
    <col min="15348" max="15348" width="9" style="12" customWidth="1"/>
    <col min="15349" max="15349" width="15.625" style="12" customWidth="1"/>
    <col min="15350" max="15350" width="7.5" style="12" customWidth="1"/>
    <col min="15351" max="15351" width="7.625" style="12" customWidth="1"/>
    <col min="15352" max="15352" width="6.5" style="12" bestFit="1" customWidth="1"/>
    <col min="15353" max="15353" width="7.5" style="12" bestFit="1" customWidth="1"/>
    <col min="15354" max="15355" width="9.125" style="12"/>
    <col min="15356" max="15356" width="5.5" style="12" customWidth="1"/>
    <col min="15357" max="15357" width="9.125" style="12"/>
    <col min="15358" max="15358" width="64.375" style="12" customWidth="1"/>
    <col min="15359" max="15359" width="8.125" style="12" customWidth="1"/>
    <col min="15360" max="15360" width="0" style="12" hidden="1" customWidth="1"/>
    <col min="15361" max="15361" width="4.875" style="12" customWidth="1"/>
    <col min="15362" max="15603" width="9.125" style="12"/>
    <col min="15604" max="15604" width="9" style="12" customWidth="1"/>
    <col min="15605" max="15605" width="15.625" style="12" customWidth="1"/>
    <col min="15606" max="15606" width="7.5" style="12" customWidth="1"/>
    <col min="15607" max="15607" width="7.625" style="12" customWidth="1"/>
    <col min="15608" max="15608" width="6.5" style="12" bestFit="1" customWidth="1"/>
    <col min="15609" max="15609" width="7.5" style="12" bestFit="1" customWidth="1"/>
    <col min="15610" max="15611" width="9.125" style="12"/>
    <col min="15612" max="15612" width="5.5" style="12" customWidth="1"/>
    <col min="15613" max="15613" width="9.125" style="12"/>
    <col min="15614" max="15614" width="64.375" style="12" customWidth="1"/>
    <col min="15615" max="15615" width="8.125" style="12" customWidth="1"/>
    <col min="15616" max="15616" width="0" style="12" hidden="1" customWidth="1"/>
    <col min="15617" max="15617" width="4.875" style="12" customWidth="1"/>
    <col min="15618" max="15859" width="9.125" style="12"/>
    <col min="15860" max="15860" width="9" style="12" customWidth="1"/>
    <col min="15861" max="15861" width="15.625" style="12" customWidth="1"/>
    <col min="15862" max="15862" width="7.5" style="12" customWidth="1"/>
    <col min="15863" max="15863" width="7.625" style="12" customWidth="1"/>
    <col min="15864" max="15864" width="6.5" style="12" bestFit="1" customWidth="1"/>
    <col min="15865" max="15865" width="7.5" style="12" bestFit="1" customWidth="1"/>
    <col min="15866" max="15867" width="9.125" style="12"/>
    <col min="15868" max="15868" width="5.5" style="12" customWidth="1"/>
    <col min="15869" max="15869" width="9.125" style="12"/>
    <col min="15870" max="15870" width="64.375" style="12" customWidth="1"/>
    <col min="15871" max="15871" width="8.125" style="12" customWidth="1"/>
    <col min="15872" max="15872" width="0" style="12" hidden="1" customWidth="1"/>
    <col min="15873" max="15873" width="4.875" style="12" customWidth="1"/>
    <col min="15874" max="16115" width="9.125" style="12"/>
    <col min="16116" max="16116" width="9" style="12" customWidth="1"/>
    <col min="16117" max="16117" width="15.625" style="12" customWidth="1"/>
    <col min="16118" max="16118" width="7.5" style="12" customWidth="1"/>
    <col min="16119" max="16119" width="7.625" style="12" customWidth="1"/>
    <col min="16120" max="16120" width="6.5" style="12" bestFit="1" customWidth="1"/>
    <col min="16121" max="16121" width="7.5" style="12" bestFit="1" customWidth="1"/>
    <col min="16122" max="16123" width="9.125" style="12"/>
    <col min="16124" max="16124" width="5.5" style="12" customWidth="1"/>
    <col min="16125" max="16125" width="9.125" style="12"/>
    <col min="16126" max="16126" width="64.375" style="12" customWidth="1"/>
    <col min="16127" max="16127" width="8.125" style="12" customWidth="1"/>
    <col min="16128" max="16128" width="0" style="12" hidden="1" customWidth="1"/>
    <col min="16129" max="16129" width="4.875" style="12" customWidth="1"/>
    <col min="16130" max="16384" width="9.125" style="12"/>
  </cols>
  <sheetData>
    <row r="1" spans="1:17">
      <c r="A1" s="188" t="s">
        <v>68</v>
      </c>
      <c r="B1" s="189" t="s">
        <v>69</v>
      </c>
      <c r="C1" s="189"/>
      <c r="D1" s="189"/>
      <c r="E1" s="189"/>
      <c r="F1" s="189"/>
      <c r="G1" s="189"/>
      <c r="H1" s="189"/>
      <c r="I1" s="189"/>
      <c r="J1" s="189"/>
      <c r="K1" s="189"/>
      <c r="L1" s="189"/>
      <c r="O1" s="190" t="s">
        <v>76</v>
      </c>
      <c r="P1" s="190"/>
      <c r="Q1" s="190"/>
    </row>
    <row r="2" spans="1:17">
      <c r="A2" s="188"/>
      <c r="B2" s="48">
        <v>2023</v>
      </c>
      <c r="C2" s="48">
        <v>2024</v>
      </c>
      <c r="D2" s="48">
        <v>2025</v>
      </c>
      <c r="E2" s="48">
        <v>2026</v>
      </c>
      <c r="F2" s="48">
        <v>2027</v>
      </c>
      <c r="G2" s="48">
        <v>2028</v>
      </c>
      <c r="H2" s="48">
        <v>2029</v>
      </c>
      <c r="I2" s="48">
        <v>2030</v>
      </c>
      <c r="J2" s="48">
        <v>2031</v>
      </c>
      <c r="K2" s="48">
        <v>2032</v>
      </c>
      <c r="L2" s="48">
        <v>2033</v>
      </c>
      <c r="O2" s="59"/>
      <c r="P2" s="60" t="s">
        <v>77</v>
      </c>
      <c r="Q2" s="61">
        <v>285</v>
      </c>
    </row>
    <row r="3" spans="1:17" ht="28.5">
      <c r="A3" s="76" t="s">
        <v>70</v>
      </c>
      <c r="B3" s="77">
        <v>1652.3536082360788</v>
      </c>
      <c r="C3" s="77">
        <v>1652.3536082360788</v>
      </c>
      <c r="D3" s="77">
        <v>1652.3536082360788</v>
      </c>
      <c r="E3" s="77">
        <v>1652.3536082360788</v>
      </c>
      <c r="F3" s="77">
        <v>1652.3536082360788</v>
      </c>
      <c r="G3" s="77">
        <v>1652.3536082360788</v>
      </c>
      <c r="H3" s="77">
        <v>1652.3536082360788</v>
      </c>
      <c r="I3" s="77">
        <v>1652.3536082360788</v>
      </c>
      <c r="J3" s="77">
        <v>1652.3536082360788</v>
      </c>
      <c r="K3" s="77">
        <v>1652.3536082360788</v>
      </c>
      <c r="L3" s="77">
        <v>1652.3536082360788</v>
      </c>
      <c r="O3" s="62" t="s">
        <v>78</v>
      </c>
      <c r="P3" s="63" t="s">
        <v>79</v>
      </c>
      <c r="Q3" s="64">
        <v>0.22900000000000001</v>
      </c>
    </row>
    <row r="4" spans="1:17" ht="16.5">
      <c r="A4" s="80" t="s">
        <v>100</v>
      </c>
      <c r="B4" s="77">
        <f t="shared" ref="B4:L4" si="0">B3*1000/$Q$2</f>
        <v>5797.7319587230841</v>
      </c>
      <c r="C4" s="77">
        <f t="shared" si="0"/>
        <v>5797.7319587230841</v>
      </c>
      <c r="D4" s="77">
        <f t="shared" si="0"/>
        <v>5797.7319587230841</v>
      </c>
      <c r="E4" s="77">
        <f t="shared" si="0"/>
        <v>5797.7319587230841</v>
      </c>
      <c r="F4" s="77">
        <f t="shared" si="0"/>
        <v>5797.7319587230841</v>
      </c>
      <c r="G4" s="77">
        <f t="shared" si="0"/>
        <v>5797.7319587230841</v>
      </c>
      <c r="H4" s="77">
        <f t="shared" si="0"/>
        <v>5797.7319587230841</v>
      </c>
      <c r="I4" s="77">
        <f t="shared" si="0"/>
        <v>5797.7319587230841</v>
      </c>
      <c r="J4" s="77">
        <f t="shared" si="0"/>
        <v>5797.7319587230841</v>
      </c>
      <c r="K4" s="77">
        <f t="shared" si="0"/>
        <v>5797.7319587230841</v>
      </c>
      <c r="L4" s="77">
        <f t="shared" si="0"/>
        <v>5797.7319587230841</v>
      </c>
      <c r="O4" s="62"/>
      <c r="P4" s="63"/>
      <c r="Q4" s="64"/>
    </row>
    <row r="5" spans="1:17" ht="28.5">
      <c r="A5" s="76" t="s">
        <v>71</v>
      </c>
      <c r="B5" s="77">
        <f t="shared" ref="B5:L5" si="1">$B$3/2</f>
        <v>826.1768041180394</v>
      </c>
      <c r="C5" s="77">
        <f t="shared" si="1"/>
        <v>826.1768041180394</v>
      </c>
      <c r="D5" s="77">
        <f t="shared" si="1"/>
        <v>826.1768041180394</v>
      </c>
      <c r="E5" s="77">
        <f t="shared" si="1"/>
        <v>826.1768041180394</v>
      </c>
      <c r="F5" s="77">
        <f t="shared" si="1"/>
        <v>826.1768041180394</v>
      </c>
      <c r="G5" s="77">
        <f t="shared" si="1"/>
        <v>826.1768041180394</v>
      </c>
      <c r="H5" s="77">
        <f t="shared" si="1"/>
        <v>826.1768041180394</v>
      </c>
      <c r="I5" s="77">
        <f t="shared" si="1"/>
        <v>826.1768041180394</v>
      </c>
      <c r="J5" s="77">
        <f t="shared" si="1"/>
        <v>826.1768041180394</v>
      </c>
      <c r="K5" s="77">
        <f t="shared" si="1"/>
        <v>826.1768041180394</v>
      </c>
      <c r="L5" s="77">
        <f t="shared" si="1"/>
        <v>826.1768041180394</v>
      </c>
      <c r="O5" s="65" t="s">
        <v>80</v>
      </c>
      <c r="P5" s="66" t="s">
        <v>81</v>
      </c>
      <c r="Q5" s="67">
        <v>1569</v>
      </c>
    </row>
    <row r="6" spans="1:17" ht="28.5">
      <c r="A6" s="76" t="s">
        <v>72</v>
      </c>
      <c r="B6" s="77">
        <f t="shared" ref="B6:L6" si="2">$B$4/2</f>
        <v>2898.865979361542</v>
      </c>
      <c r="C6" s="77">
        <f t="shared" si="2"/>
        <v>2898.865979361542</v>
      </c>
      <c r="D6" s="77">
        <f t="shared" si="2"/>
        <v>2898.865979361542</v>
      </c>
      <c r="E6" s="77">
        <f t="shared" si="2"/>
        <v>2898.865979361542</v>
      </c>
      <c r="F6" s="77">
        <f t="shared" si="2"/>
        <v>2898.865979361542</v>
      </c>
      <c r="G6" s="77">
        <f t="shared" si="2"/>
        <v>2898.865979361542</v>
      </c>
      <c r="H6" s="77">
        <f t="shared" si="2"/>
        <v>2898.865979361542</v>
      </c>
      <c r="I6" s="77">
        <f t="shared" si="2"/>
        <v>2898.865979361542</v>
      </c>
      <c r="J6" s="77">
        <f t="shared" si="2"/>
        <v>2898.865979361542</v>
      </c>
      <c r="K6" s="77">
        <f t="shared" si="2"/>
        <v>2898.865979361542</v>
      </c>
      <c r="L6" s="77">
        <f t="shared" si="2"/>
        <v>2898.865979361542</v>
      </c>
      <c r="O6" s="65" t="s">
        <v>80</v>
      </c>
      <c r="P6" s="66" t="s">
        <v>82</v>
      </c>
      <c r="Q6" s="67">
        <v>4.7</v>
      </c>
    </row>
    <row r="7" spans="1:17" ht="25.5">
      <c r="A7" s="78" t="s">
        <v>73</v>
      </c>
      <c r="B7" s="77">
        <f t="shared" ref="B7:L7" si="3">B6*$Q$3</f>
        <v>663.8403092737932</v>
      </c>
      <c r="C7" s="77">
        <f t="shared" si="3"/>
        <v>663.8403092737932</v>
      </c>
      <c r="D7" s="77">
        <f t="shared" si="3"/>
        <v>663.8403092737932</v>
      </c>
      <c r="E7" s="77">
        <f t="shared" si="3"/>
        <v>663.8403092737932</v>
      </c>
      <c r="F7" s="77">
        <f t="shared" si="3"/>
        <v>663.8403092737932</v>
      </c>
      <c r="G7" s="77">
        <f t="shared" si="3"/>
        <v>663.8403092737932</v>
      </c>
      <c r="H7" s="77">
        <f t="shared" si="3"/>
        <v>663.8403092737932</v>
      </c>
      <c r="I7" s="77">
        <f t="shared" si="3"/>
        <v>663.8403092737932</v>
      </c>
      <c r="J7" s="77">
        <f t="shared" si="3"/>
        <v>663.8403092737932</v>
      </c>
      <c r="K7" s="77">
        <f t="shared" si="3"/>
        <v>663.8403092737932</v>
      </c>
      <c r="L7" s="77">
        <f t="shared" si="3"/>
        <v>663.8403092737932</v>
      </c>
      <c r="O7" s="65" t="s">
        <v>83</v>
      </c>
      <c r="P7" s="66" t="s">
        <v>84</v>
      </c>
      <c r="Q7" s="67">
        <v>0.26</v>
      </c>
    </row>
    <row r="8" spans="1:17">
      <c r="A8" s="78" t="s">
        <v>74</v>
      </c>
      <c r="B8" s="77">
        <f>$Q$11*0+B7</f>
        <v>663.8403092737932</v>
      </c>
      <c r="C8" s="77">
        <f t="shared" ref="C8:L8" si="4">$Q$11*B8+C7</f>
        <v>1307.9730271515248</v>
      </c>
      <c r="D8" s="77">
        <f t="shared" si="4"/>
        <v>1932.9832177716758</v>
      </c>
      <c r="E8" s="77">
        <f t="shared" si="4"/>
        <v>2539.4385763289902</v>
      </c>
      <c r="F8" s="77">
        <f t="shared" si="4"/>
        <v>3127.8899447106037</v>
      </c>
      <c r="G8" s="77">
        <f t="shared" si="4"/>
        <v>3698.8718118243528</v>
      </c>
      <c r="H8" s="77">
        <f t="shared" si="4"/>
        <v>4252.902799073714</v>
      </c>
      <c r="I8" s="77">
        <f t="shared" si="4"/>
        <v>4790.4861314203308</v>
      </c>
      <c r="J8" s="77">
        <f t="shared" si="4"/>
        <v>5312.1100944619857</v>
      </c>
      <c r="K8" s="77">
        <f t="shared" si="4"/>
        <v>5818.2484779411925</v>
      </c>
      <c r="L8" s="77">
        <f t="shared" si="4"/>
        <v>6309.3610060872352</v>
      </c>
      <c r="O8" s="65" t="s">
        <v>85</v>
      </c>
      <c r="P8" s="66" t="s">
        <v>86</v>
      </c>
      <c r="Q8" s="67">
        <v>0.33</v>
      </c>
    </row>
    <row r="9" spans="1:17" ht="25.5">
      <c r="A9" s="78" t="s">
        <v>75</v>
      </c>
      <c r="B9" s="77">
        <f>B8</f>
        <v>663.8403092737932</v>
      </c>
      <c r="C9" s="77">
        <f t="shared" ref="C9:L9" si="5">C8-B8</f>
        <v>644.13271787773158</v>
      </c>
      <c r="D9" s="77">
        <f t="shared" si="5"/>
        <v>625.01019062015098</v>
      </c>
      <c r="E9" s="77">
        <f t="shared" si="5"/>
        <v>606.45535855731441</v>
      </c>
      <c r="F9" s="77">
        <f t="shared" si="5"/>
        <v>588.45136838161352</v>
      </c>
      <c r="G9" s="77">
        <f t="shared" si="5"/>
        <v>570.9818671137491</v>
      </c>
      <c r="H9" s="77">
        <f t="shared" si="5"/>
        <v>554.03098724936126</v>
      </c>
      <c r="I9" s="77">
        <f t="shared" si="5"/>
        <v>537.58333234661677</v>
      </c>
      <c r="J9" s="77">
        <f t="shared" si="5"/>
        <v>521.62396304165486</v>
      </c>
      <c r="K9" s="77">
        <f t="shared" si="5"/>
        <v>506.13838347920682</v>
      </c>
      <c r="L9" s="77">
        <f t="shared" si="5"/>
        <v>491.11252814604268</v>
      </c>
      <c r="O9" s="62" t="s">
        <v>87</v>
      </c>
      <c r="P9" s="68" t="s">
        <v>88</v>
      </c>
      <c r="Q9" s="69">
        <f>LN(2)/Q10</f>
        <v>3.0136833937388925E-2</v>
      </c>
    </row>
    <row r="10" spans="1:17" ht="33">
      <c r="A10" s="80" t="s">
        <v>98</v>
      </c>
      <c r="B10" s="77">
        <f>B9*44/12</f>
        <v>2434.0811340039086</v>
      </c>
      <c r="C10" s="77">
        <f t="shared" ref="C10:L10" si="6">C9*0.7*44/12</f>
        <v>1653.2739758861778</v>
      </c>
      <c r="D10" s="77">
        <f t="shared" si="6"/>
        <v>1604.1928225917206</v>
      </c>
      <c r="E10" s="77">
        <f t="shared" si="6"/>
        <v>1556.5687536304401</v>
      </c>
      <c r="F10" s="77">
        <f t="shared" si="6"/>
        <v>1510.3585121794747</v>
      </c>
      <c r="G10" s="77">
        <f t="shared" si="6"/>
        <v>1465.5201255919558</v>
      </c>
      <c r="H10" s="77">
        <f t="shared" si="6"/>
        <v>1422.0128672733606</v>
      </c>
      <c r="I10" s="77">
        <f t="shared" si="6"/>
        <v>1379.7972196896499</v>
      </c>
      <c r="J10" s="77">
        <f t="shared" si="6"/>
        <v>1338.8348384735807</v>
      </c>
      <c r="K10" s="77">
        <f t="shared" si="6"/>
        <v>1299.0885175966307</v>
      </c>
      <c r="L10" s="77">
        <f t="shared" si="6"/>
        <v>1260.5221555748428</v>
      </c>
      <c r="M10" s="87">
        <f>SUM(B10:L10)</f>
        <v>16924.250922491741</v>
      </c>
      <c r="O10" s="65" t="s">
        <v>89</v>
      </c>
      <c r="P10" s="68" t="s">
        <v>90</v>
      </c>
      <c r="Q10" s="67">
        <v>23</v>
      </c>
    </row>
    <row r="11" spans="1:17" ht="33">
      <c r="A11" s="80" t="s">
        <v>99</v>
      </c>
      <c r="B11" s="77">
        <f t="shared" ref="B11:L11" si="7">B5*($Q$5/1000)*$Q$8+B5*($Q$6/1000)*$Q$8*28+B5*($Q$7/1000)*$Q$8*265</f>
        <v>482.43355211266737</v>
      </c>
      <c r="C11" s="77">
        <f t="shared" si="7"/>
        <v>482.43355211266737</v>
      </c>
      <c r="D11" s="77">
        <f t="shared" si="7"/>
        <v>482.43355211266737</v>
      </c>
      <c r="E11" s="77">
        <f t="shared" si="7"/>
        <v>482.43355211266737</v>
      </c>
      <c r="F11" s="77">
        <f t="shared" si="7"/>
        <v>482.43355211266737</v>
      </c>
      <c r="G11" s="77">
        <f t="shared" si="7"/>
        <v>482.43355211266737</v>
      </c>
      <c r="H11" s="77">
        <f t="shared" si="7"/>
        <v>482.43355211266737</v>
      </c>
      <c r="I11" s="77">
        <f t="shared" si="7"/>
        <v>482.43355211266737</v>
      </c>
      <c r="J11" s="77">
        <f t="shared" si="7"/>
        <v>482.43355211266737</v>
      </c>
      <c r="K11" s="77">
        <f t="shared" si="7"/>
        <v>482.43355211266737</v>
      </c>
      <c r="L11" s="77">
        <f t="shared" si="7"/>
        <v>482.43355211266737</v>
      </c>
      <c r="O11" s="191" t="s">
        <v>91</v>
      </c>
      <c r="P11" s="70" t="s">
        <v>92</v>
      </c>
      <c r="Q11" s="71">
        <f>EXP(-Q9)</f>
        <v>0.97031275274979811</v>
      </c>
    </row>
    <row r="12" spans="1:17" ht="18.75">
      <c r="A12" s="79" t="s">
        <v>97</v>
      </c>
      <c r="B12" s="77">
        <f t="shared" ref="B12:L12" si="8">B10+B11</f>
        <v>2916.5146861165758</v>
      </c>
      <c r="C12" s="77">
        <f t="shared" si="8"/>
        <v>2135.7075279988453</v>
      </c>
      <c r="D12" s="77">
        <f t="shared" si="8"/>
        <v>2086.6263747043881</v>
      </c>
      <c r="E12" s="77">
        <f t="shared" si="8"/>
        <v>2039.0023057431076</v>
      </c>
      <c r="F12" s="77">
        <f t="shared" si="8"/>
        <v>1992.7920642921422</v>
      </c>
      <c r="G12" s="77">
        <f t="shared" si="8"/>
        <v>1947.9536777046233</v>
      </c>
      <c r="H12" s="77">
        <f t="shared" si="8"/>
        <v>1904.4464193860281</v>
      </c>
      <c r="I12" s="77">
        <f t="shared" si="8"/>
        <v>1862.2307718023171</v>
      </c>
      <c r="J12" s="77">
        <f t="shared" si="8"/>
        <v>1821.2683905862482</v>
      </c>
      <c r="K12" s="77">
        <f t="shared" si="8"/>
        <v>1781.5220697092982</v>
      </c>
      <c r="L12" s="77">
        <f t="shared" si="8"/>
        <v>1742.9557076875103</v>
      </c>
      <c r="O12" s="191"/>
      <c r="P12" s="70" t="s">
        <v>93</v>
      </c>
      <c r="Q12" s="71">
        <f>(1-Q11)/Q9</f>
        <v>0.98508182086674789</v>
      </c>
    </row>
    <row r="13" spans="1:17" ht="28.5">
      <c r="A13" s="12" t="s">
        <v>128</v>
      </c>
      <c r="B13" s="12">
        <f>(B8)*-44/12</f>
        <v>-2434.0811340039086</v>
      </c>
      <c r="C13" s="12">
        <f t="shared" ref="C13:L13" si="9">(C8+C9*0.3)*-44/12</f>
        <v>-5504.4470892210957</v>
      </c>
      <c r="D13" s="12">
        <f t="shared" si="9"/>
        <v>-7775.1163415116434</v>
      </c>
      <c r="E13" s="12">
        <f t="shared" si="9"/>
        <v>-9978.3756742860096</v>
      </c>
      <c r="F13" s="12">
        <f t="shared" si="9"/>
        <v>-12116.226302491988</v>
      </c>
      <c r="G13" s="12">
        <f t="shared" si="9"/>
        <v>-14190.610030514419</v>
      </c>
      <c r="H13" s="12">
        <f t="shared" si="9"/>
        <v>-16203.411015911248</v>
      </c>
      <c r="I13" s="12">
        <f t="shared" si="9"/>
        <v>-18156.457480789159</v>
      </c>
      <c r="J13" s="12">
        <f t="shared" si="9"/>
        <v>-20051.5233723731</v>
      </c>
      <c r="K13" s="12">
        <f t="shared" si="9"/>
        <v>-21890.329974278167</v>
      </c>
      <c r="L13" s="12">
        <f t="shared" si="9"/>
        <v>-23674.547469947178</v>
      </c>
      <c r="M13" s="12">
        <f>SUM(B13:L13)</f>
        <v>-151975.1258853279</v>
      </c>
      <c r="O13" s="62" t="s">
        <v>94</v>
      </c>
      <c r="P13" s="72" t="s">
        <v>95</v>
      </c>
      <c r="Q13" s="73">
        <f>AVERAGE(G7:L7)</f>
        <v>663.8403092737932</v>
      </c>
    </row>
    <row r="14" spans="1:17" ht="28.5">
      <c r="A14" s="12" t="s">
        <v>127</v>
      </c>
      <c r="B14" s="87">
        <f>B13</f>
        <v>-2434.0811340039086</v>
      </c>
      <c r="C14" s="87">
        <f t="shared" ref="C14:L14" si="10">C13-B13</f>
        <v>-3070.3659552171871</v>
      </c>
      <c r="D14" s="87">
        <f t="shared" si="10"/>
        <v>-2270.6692522905478</v>
      </c>
      <c r="E14" s="87">
        <f t="shared" si="10"/>
        <v>-2203.2593327743662</v>
      </c>
      <c r="F14" s="87">
        <f t="shared" si="10"/>
        <v>-2137.8506282059789</v>
      </c>
      <c r="G14" s="87">
        <f t="shared" si="10"/>
        <v>-2074.3837280224307</v>
      </c>
      <c r="H14" s="87">
        <f t="shared" si="10"/>
        <v>-2012.8009853968288</v>
      </c>
      <c r="I14" s="87">
        <f t="shared" si="10"/>
        <v>-1953.0464648779107</v>
      </c>
      <c r="J14" s="87">
        <f t="shared" si="10"/>
        <v>-1895.0658915839413</v>
      </c>
      <c r="K14" s="87">
        <f t="shared" si="10"/>
        <v>-1838.8066019050675</v>
      </c>
      <c r="L14" s="87">
        <f t="shared" si="10"/>
        <v>-1784.2174956690105</v>
      </c>
      <c r="O14" s="62" t="s">
        <v>94</v>
      </c>
      <c r="P14" s="72" t="s">
        <v>96</v>
      </c>
      <c r="Q14" s="73">
        <f>$Q$11*L8+$Q$12*Q13</f>
        <v>6775.9904665329141</v>
      </c>
    </row>
    <row r="15" spans="1:17">
      <c r="O15" s="62"/>
      <c r="P15" s="72"/>
      <c r="Q15" s="73"/>
    </row>
    <row r="16" spans="1:17">
      <c r="O16" s="58"/>
      <c r="P16" s="74"/>
      <c r="Q16" s="75"/>
    </row>
    <row r="17" spans="1:17" ht="25.5">
      <c r="A17" s="78" t="s">
        <v>124</v>
      </c>
      <c r="B17" s="86">
        <f>B3/2</f>
        <v>826.1768041180394</v>
      </c>
      <c r="O17" s="68"/>
      <c r="P17" s="68"/>
      <c r="Q17" s="68"/>
    </row>
    <row r="18" spans="1:17" ht="15.75">
      <c r="O18" s="1" t="s">
        <v>0</v>
      </c>
      <c r="P18" s="2">
        <v>45.049504949999999</v>
      </c>
      <c r="Q18" s="68"/>
    </row>
    <row r="19" spans="1:17" ht="28.5">
      <c r="A19" s="12" t="s">
        <v>125</v>
      </c>
      <c r="O19" s="1" t="s">
        <v>1</v>
      </c>
      <c r="P19" s="3">
        <v>5871</v>
      </c>
      <c r="Q19" s="68"/>
    </row>
    <row r="20" spans="1:17" ht="28.5">
      <c r="A20" s="12" t="s">
        <v>126</v>
      </c>
      <c r="O20" s="1" t="s">
        <v>2</v>
      </c>
      <c r="P20" s="4">
        <f>$P$19*$P$18/100</f>
        <v>2644.8564356145002</v>
      </c>
      <c r="Q20" s="68"/>
    </row>
  </sheetData>
  <mergeCells count="4">
    <mergeCell ref="A1:A2"/>
    <mergeCell ref="B1:L1"/>
    <mergeCell ref="O1:Q1"/>
    <mergeCell ref="O11:O1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74360-AFED-41C0-ADC6-A6C0C0954020}">
  <sheetPr>
    <tabColor theme="9" tint="0.39997558519241921"/>
  </sheetPr>
  <dimension ref="A1:U28"/>
  <sheetViews>
    <sheetView zoomScale="90" zoomScaleNormal="90" workbookViewId="0">
      <selection activeCell="B7" sqref="B7"/>
    </sheetView>
  </sheetViews>
  <sheetFormatPr defaultColWidth="8.875" defaultRowHeight="15"/>
  <cols>
    <col min="1" max="1" width="17.25" style="90" customWidth="1"/>
    <col min="2" max="2" width="51.25" style="90" customWidth="1"/>
    <col min="3" max="16" width="8.875" style="90"/>
    <col min="17" max="17" width="13.125" style="90" bestFit="1" customWidth="1"/>
    <col min="18" max="18" width="14.875" style="90" customWidth="1"/>
    <col min="19" max="19" width="33.25" style="90" customWidth="1"/>
    <col min="20" max="20" width="40" style="90" customWidth="1"/>
    <col min="21" max="21" width="11.375" style="90" customWidth="1"/>
    <col min="22" max="39" width="8.875" style="90"/>
    <col min="40" max="40" width="15.5" style="90" customWidth="1"/>
    <col min="41" max="41" width="54" style="90" customWidth="1"/>
    <col min="42" max="248" width="8.875" style="90"/>
    <col min="249" max="249" width="9" style="90" customWidth="1"/>
    <col min="250" max="250" width="15.625" style="90" customWidth="1"/>
    <col min="251" max="251" width="7.5" style="90" customWidth="1"/>
    <col min="252" max="252" width="7.625" style="90" customWidth="1"/>
    <col min="253" max="253" width="6.5" style="90" bestFit="1" customWidth="1"/>
    <col min="254" max="254" width="7.5" style="90" bestFit="1" customWidth="1"/>
    <col min="255" max="256" width="8.875" style="90"/>
    <col min="257" max="257" width="5.5" style="90" customWidth="1"/>
    <col min="258" max="258" width="8.875" style="90"/>
    <col min="259" max="259" width="64.375" style="90" customWidth="1"/>
    <col min="260" max="260" width="8.125" style="90" customWidth="1"/>
    <col min="261" max="261" width="0" style="90" hidden="1" customWidth="1"/>
    <col min="262" max="262" width="4.875" style="90" customWidth="1"/>
    <col min="263" max="504" width="8.875" style="90"/>
    <col min="505" max="505" width="9" style="90" customWidth="1"/>
    <col min="506" max="506" width="15.625" style="90" customWidth="1"/>
    <col min="507" max="507" width="7.5" style="90" customWidth="1"/>
    <col min="508" max="508" width="7.625" style="90" customWidth="1"/>
    <col min="509" max="509" width="6.5" style="90" bestFit="1" customWidth="1"/>
    <col min="510" max="510" width="7.5" style="90" bestFit="1" customWidth="1"/>
    <col min="511" max="512" width="8.875" style="90"/>
    <col min="513" max="513" width="5.5" style="90" customWidth="1"/>
    <col min="514" max="514" width="8.875" style="90"/>
    <col min="515" max="515" width="64.375" style="90" customWidth="1"/>
    <col min="516" max="516" width="8.125" style="90" customWidth="1"/>
    <col min="517" max="517" width="0" style="90" hidden="1" customWidth="1"/>
    <col min="518" max="518" width="4.875" style="90" customWidth="1"/>
    <col min="519" max="760" width="8.875" style="90"/>
    <col min="761" max="761" width="9" style="90" customWidth="1"/>
    <col min="762" max="762" width="15.625" style="90" customWidth="1"/>
    <col min="763" max="763" width="7.5" style="90" customWidth="1"/>
    <col min="764" max="764" width="7.625" style="90" customWidth="1"/>
    <col min="765" max="765" width="6.5" style="90" bestFit="1" customWidth="1"/>
    <col min="766" max="766" width="7.5" style="90" bestFit="1" customWidth="1"/>
    <col min="767" max="768" width="8.875" style="90"/>
    <col min="769" max="769" width="5.5" style="90" customWidth="1"/>
    <col min="770" max="770" width="8.875" style="90"/>
    <col min="771" max="771" width="64.375" style="90" customWidth="1"/>
    <col min="772" max="772" width="8.125" style="90" customWidth="1"/>
    <col min="773" max="773" width="0" style="90" hidden="1" customWidth="1"/>
    <col min="774" max="774" width="4.875" style="90" customWidth="1"/>
    <col min="775" max="1016" width="8.875" style="90"/>
    <col min="1017" max="1017" width="9" style="90" customWidth="1"/>
    <col min="1018" max="1018" width="15.625" style="90" customWidth="1"/>
    <col min="1019" max="1019" width="7.5" style="90" customWidth="1"/>
    <col min="1020" max="1020" width="7.625" style="90" customWidth="1"/>
    <col min="1021" max="1021" width="6.5" style="90" bestFit="1" customWidth="1"/>
    <col min="1022" max="1022" width="7.5" style="90" bestFit="1" customWidth="1"/>
    <col min="1023" max="1024" width="8.875" style="90"/>
    <col min="1025" max="1025" width="5.5" style="90" customWidth="1"/>
    <col min="1026" max="1026" width="8.875" style="90"/>
    <col min="1027" max="1027" width="64.375" style="90" customWidth="1"/>
    <col min="1028" max="1028" width="8.125" style="90" customWidth="1"/>
    <col min="1029" max="1029" width="0" style="90" hidden="1" customWidth="1"/>
    <col min="1030" max="1030" width="4.875" style="90" customWidth="1"/>
    <col min="1031" max="1272" width="8.875" style="90"/>
    <col min="1273" max="1273" width="9" style="90" customWidth="1"/>
    <col min="1274" max="1274" width="15.625" style="90" customWidth="1"/>
    <col min="1275" max="1275" width="7.5" style="90" customWidth="1"/>
    <col min="1276" max="1276" width="7.625" style="90" customWidth="1"/>
    <col min="1277" max="1277" width="6.5" style="90" bestFit="1" customWidth="1"/>
    <col min="1278" max="1278" width="7.5" style="90" bestFit="1" customWidth="1"/>
    <col min="1279" max="1280" width="8.875" style="90"/>
    <col min="1281" max="1281" width="5.5" style="90" customWidth="1"/>
    <col min="1282" max="1282" width="8.875" style="90"/>
    <col min="1283" max="1283" width="64.375" style="90" customWidth="1"/>
    <col min="1284" max="1284" width="8.125" style="90" customWidth="1"/>
    <col min="1285" max="1285" width="0" style="90" hidden="1" customWidth="1"/>
    <col min="1286" max="1286" width="4.875" style="90" customWidth="1"/>
    <col min="1287" max="1528" width="8.875" style="90"/>
    <col min="1529" max="1529" width="9" style="90" customWidth="1"/>
    <col min="1530" max="1530" width="15.625" style="90" customWidth="1"/>
    <col min="1531" max="1531" width="7.5" style="90" customWidth="1"/>
    <col min="1532" max="1532" width="7.625" style="90" customWidth="1"/>
    <col min="1533" max="1533" width="6.5" style="90" bestFit="1" customWidth="1"/>
    <col min="1534" max="1534" width="7.5" style="90" bestFit="1" customWidth="1"/>
    <col min="1535" max="1536" width="8.875" style="90"/>
    <col min="1537" max="1537" width="5.5" style="90" customWidth="1"/>
    <col min="1538" max="1538" width="8.875" style="90"/>
    <col min="1539" max="1539" width="64.375" style="90" customWidth="1"/>
    <col min="1540" max="1540" width="8.125" style="90" customWidth="1"/>
    <col min="1541" max="1541" width="0" style="90" hidden="1" customWidth="1"/>
    <col min="1542" max="1542" width="4.875" style="90" customWidth="1"/>
    <col min="1543" max="1784" width="8.875" style="90"/>
    <col min="1785" max="1785" width="9" style="90" customWidth="1"/>
    <col min="1786" max="1786" width="15.625" style="90" customWidth="1"/>
    <col min="1787" max="1787" width="7.5" style="90" customWidth="1"/>
    <col min="1788" max="1788" width="7.625" style="90" customWidth="1"/>
    <col min="1789" max="1789" width="6.5" style="90" bestFit="1" customWidth="1"/>
    <col min="1790" max="1790" width="7.5" style="90" bestFit="1" customWidth="1"/>
    <col min="1791" max="1792" width="8.875" style="90"/>
    <col min="1793" max="1793" width="5.5" style="90" customWidth="1"/>
    <col min="1794" max="1794" width="8.875" style="90"/>
    <col min="1795" max="1795" width="64.375" style="90" customWidth="1"/>
    <col min="1796" max="1796" width="8.125" style="90" customWidth="1"/>
    <col min="1797" max="1797" width="0" style="90" hidden="1" customWidth="1"/>
    <col min="1798" max="1798" width="4.875" style="90" customWidth="1"/>
    <col min="1799" max="2040" width="8.875" style="90"/>
    <col min="2041" max="2041" width="9" style="90" customWidth="1"/>
    <col min="2042" max="2042" width="15.625" style="90" customWidth="1"/>
    <col min="2043" max="2043" width="7.5" style="90" customWidth="1"/>
    <col min="2044" max="2044" width="7.625" style="90" customWidth="1"/>
    <col min="2045" max="2045" width="6.5" style="90" bestFit="1" customWidth="1"/>
    <col min="2046" max="2046" width="7.5" style="90" bestFit="1" customWidth="1"/>
    <col min="2047" max="2048" width="8.875" style="90"/>
    <col min="2049" max="2049" width="5.5" style="90" customWidth="1"/>
    <col min="2050" max="2050" width="8.875" style="90"/>
    <col min="2051" max="2051" width="64.375" style="90" customWidth="1"/>
    <col min="2052" max="2052" width="8.125" style="90" customWidth="1"/>
    <col min="2053" max="2053" width="0" style="90" hidden="1" customWidth="1"/>
    <col min="2054" max="2054" width="4.875" style="90" customWidth="1"/>
    <col min="2055" max="2296" width="8.875" style="90"/>
    <col min="2297" max="2297" width="9" style="90" customWidth="1"/>
    <col min="2298" max="2298" width="15.625" style="90" customWidth="1"/>
    <col min="2299" max="2299" width="7.5" style="90" customWidth="1"/>
    <col min="2300" max="2300" width="7.625" style="90" customWidth="1"/>
    <col min="2301" max="2301" width="6.5" style="90" bestFit="1" customWidth="1"/>
    <col min="2302" max="2302" width="7.5" style="90" bestFit="1" customWidth="1"/>
    <col min="2303" max="2304" width="8.875" style="90"/>
    <col min="2305" max="2305" width="5.5" style="90" customWidth="1"/>
    <col min="2306" max="2306" width="8.875" style="90"/>
    <col min="2307" max="2307" width="64.375" style="90" customWidth="1"/>
    <col min="2308" max="2308" width="8.125" style="90" customWidth="1"/>
    <col min="2309" max="2309" width="0" style="90" hidden="1" customWidth="1"/>
    <col min="2310" max="2310" width="4.875" style="90" customWidth="1"/>
    <col min="2311" max="2552" width="8.875" style="90"/>
    <col min="2553" max="2553" width="9" style="90" customWidth="1"/>
    <col min="2554" max="2554" width="15.625" style="90" customWidth="1"/>
    <col min="2555" max="2555" width="7.5" style="90" customWidth="1"/>
    <col min="2556" max="2556" width="7.625" style="90" customWidth="1"/>
    <col min="2557" max="2557" width="6.5" style="90" bestFit="1" customWidth="1"/>
    <col min="2558" max="2558" width="7.5" style="90" bestFit="1" customWidth="1"/>
    <col min="2559" max="2560" width="8.875" style="90"/>
    <col min="2561" max="2561" width="5.5" style="90" customWidth="1"/>
    <col min="2562" max="2562" width="8.875" style="90"/>
    <col min="2563" max="2563" width="64.375" style="90" customWidth="1"/>
    <col min="2564" max="2564" width="8.125" style="90" customWidth="1"/>
    <col min="2565" max="2565" width="0" style="90" hidden="1" customWidth="1"/>
    <col min="2566" max="2566" width="4.875" style="90" customWidth="1"/>
    <col min="2567" max="2808" width="8.875" style="90"/>
    <col min="2809" max="2809" width="9" style="90" customWidth="1"/>
    <col min="2810" max="2810" width="15.625" style="90" customWidth="1"/>
    <col min="2811" max="2811" width="7.5" style="90" customWidth="1"/>
    <col min="2812" max="2812" width="7.625" style="90" customWidth="1"/>
    <col min="2813" max="2813" width="6.5" style="90" bestFit="1" customWidth="1"/>
    <col min="2814" max="2814" width="7.5" style="90" bestFit="1" customWidth="1"/>
    <col min="2815" max="2816" width="8.875" style="90"/>
    <col min="2817" max="2817" width="5.5" style="90" customWidth="1"/>
    <col min="2818" max="2818" width="8.875" style="90"/>
    <col min="2819" max="2819" width="64.375" style="90" customWidth="1"/>
    <col min="2820" max="2820" width="8.125" style="90" customWidth="1"/>
    <col min="2821" max="2821" width="0" style="90" hidden="1" customWidth="1"/>
    <col min="2822" max="2822" width="4.875" style="90" customWidth="1"/>
    <col min="2823" max="3064" width="8.875" style="90"/>
    <col min="3065" max="3065" width="9" style="90" customWidth="1"/>
    <col min="3066" max="3066" width="15.625" style="90" customWidth="1"/>
    <col min="3067" max="3067" width="7.5" style="90" customWidth="1"/>
    <col min="3068" max="3068" width="7.625" style="90" customWidth="1"/>
    <col min="3069" max="3069" width="6.5" style="90" bestFit="1" customWidth="1"/>
    <col min="3070" max="3070" width="7.5" style="90" bestFit="1" customWidth="1"/>
    <col min="3071" max="3072" width="8.875" style="90"/>
    <col min="3073" max="3073" width="5.5" style="90" customWidth="1"/>
    <col min="3074" max="3074" width="8.875" style="90"/>
    <col min="3075" max="3075" width="64.375" style="90" customWidth="1"/>
    <col min="3076" max="3076" width="8.125" style="90" customWidth="1"/>
    <col min="3077" max="3077" width="0" style="90" hidden="1" customWidth="1"/>
    <col min="3078" max="3078" width="4.875" style="90" customWidth="1"/>
    <col min="3079" max="3320" width="8.875" style="90"/>
    <col min="3321" max="3321" width="9" style="90" customWidth="1"/>
    <col min="3322" max="3322" width="15.625" style="90" customWidth="1"/>
    <col min="3323" max="3323" width="7.5" style="90" customWidth="1"/>
    <col min="3324" max="3324" width="7.625" style="90" customWidth="1"/>
    <col min="3325" max="3325" width="6.5" style="90" bestFit="1" customWidth="1"/>
    <col min="3326" max="3326" width="7.5" style="90" bestFit="1" customWidth="1"/>
    <col min="3327" max="3328" width="8.875" style="90"/>
    <col min="3329" max="3329" width="5.5" style="90" customWidth="1"/>
    <col min="3330" max="3330" width="8.875" style="90"/>
    <col min="3331" max="3331" width="64.375" style="90" customWidth="1"/>
    <col min="3332" max="3332" width="8.125" style="90" customWidth="1"/>
    <col min="3333" max="3333" width="0" style="90" hidden="1" customWidth="1"/>
    <col min="3334" max="3334" width="4.875" style="90" customWidth="1"/>
    <col min="3335" max="3576" width="8.875" style="90"/>
    <col min="3577" max="3577" width="9" style="90" customWidth="1"/>
    <col min="3578" max="3578" width="15.625" style="90" customWidth="1"/>
    <col min="3579" max="3579" width="7.5" style="90" customWidth="1"/>
    <col min="3580" max="3580" width="7.625" style="90" customWidth="1"/>
    <col min="3581" max="3581" width="6.5" style="90" bestFit="1" customWidth="1"/>
    <col min="3582" max="3582" width="7.5" style="90" bestFit="1" customWidth="1"/>
    <col min="3583" max="3584" width="8.875" style="90"/>
    <col min="3585" max="3585" width="5.5" style="90" customWidth="1"/>
    <col min="3586" max="3586" width="8.875" style="90"/>
    <col min="3587" max="3587" width="64.375" style="90" customWidth="1"/>
    <col min="3588" max="3588" width="8.125" style="90" customWidth="1"/>
    <col min="3589" max="3589" width="0" style="90" hidden="1" customWidth="1"/>
    <col min="3590" max="3590" width="4.875" style="90" customWidth="1"/>
    <col min="3591" max="3832" width="8.875" style="90"/>
    <col min="3833" max="3833" width="9" style="90" customWidth="1"/>
    <col min="3834" max="3834" width="15.625" style="90" customWidth="1"/>
    <col min="3835" max="3835" width="7.5" style="90" customWidth="1"/>
    <col min="3836" max="3836" width="7.625" style="90" customWidth="1"/>
    <col min="3837" max="3837" width="6.5" style="90" bestFit="1" customWidth="1"/>
    <col min="3838" max="3838" width="7.5" style="90" bestFit="1" customWidth="1"/>
    <col min="3839" max="3840" width="8.875" style="90"/>
    <col min="3841" max="3841" width="5.5" style="90" customWidth="1"/>
    <col min="3842" max="3842" width="8.875" style="90"/>
    <col min="3843" max="3843" width="64.375" style="90" customWidth="1"/>
    <col min="3844" max="3844" width="8.125" style="90" customWidth="1"/>
    <col min="3845" max="3845" width="0" style="90" hidden="1" customWidth="1"/>
    <col min="3846" max="3846" width="4.875" style="90" customWidth="1"/>
    <col min="3847" max="4088" width="8.875" style="90"/>
    <col min="4089" max="4089" width="9" style="90" customWidth="1"/>
    <col min="4090" max="4090" width="15.625" style="90" customWidth="1"/>
    <col min="4091" max="4091" width="7.5" style="90" customWidth="1"/>
    <col min="4092" max="4092" width="7.625" style="90" customWidth="1"/>
    <col min="4093" max="4093" width="6.5" style="90" bestFit="1" customWidth="1"/>
    <col min="4094" max="4094" width="7.5" style="90" bestFit="1" customWidth="1"/>
    <col min="4095" max="4096" width="8.875" style="90"/>
    <col min="4097" max="4097" width="5.5" style="90" customWidth="1"/>
    <col min="4098" max="4098" width="8.875" style="90"/>
    <col min="4099" max="4099" width="64.375" style="90" customWidth="1"/>
    <col min="4100" max="4100" width="8.125" style="90" customWidth="1"/>
    <col min="4101" max="4101" width="0" style="90" hidden="1" customWidth="1"/>
    <col min="4102" max="4102" width="4.875" style="90" customWidth="1"/>
    <col min="4103" max="4344" width="8.875" style="90"/>
    <col min="4345" max="4345" width="9" style="90" customWidth="1"/>
    <col min="4346" max="4346" width="15.625" style="90" customWidth="1"/>
    <col min="4347" max="4347" width="7.5" style="90" customWidth="1"/>
    <col min="4348" max="4348" width="7.625" style="90" customWidth="1"/>
    <col min="4349" max="4349" width="6.5" style="90" bestFit="1" customWidth="1"/>
    <col min="4350" max="4350" width="7.5" style="90" bestFit="1" customWidth="1"/>
    <col min="4351" max="4352" width="8.875" style="90"/>
    <col min="4353" max="4353" width="5.5" style="90" customWidth="1"/>
    <col min="4354" max="4354" width="8.875" style="90"/>
    <col min="4355" max="4355" width="64.375" style="90" customWidth="1"/>
    <col min="4356" max="4356" width="8.125" style="90" customWidth="1"/>
    <col min="4357" max="4357" width="0" style="90" hidden="1" customWidth="1"/>
    <col min="4358" max="4358" width="4.875" style="90" customWidth="1"/>
    <col min="4359" max="4600" width="8.875" style="90"/>
    <col min="4601" max="4601" width="9" style="90" customWidth="1"/>
    <col min="4602" max="4602" width="15.625" style="90" customWidth="1"/>
    <col min="4603" max="4603" width="7.5" style="90" customWidth="1"/>
    <col min="4604" max="4604" width="7.625" style="90" customWidth="1"/>
    <col min="4605" max="4605" width="6.5" style="90" bestFit="1" customWidth="1"/>
    <col min="4606" max="4606" width="7.5" style="90" bestFit="1" customWidth="1"/>
    <col min="4607" max="4608" width="8.875" style="90"/>
    <col min="4609" max="4609" width="5.5" style="90" customWidth="1"/>
    <col min="4610" max="4610" width="8.875" style="90"/>
    <col min="4611" max="4611" width="64.375" style="90" customWidth="1"/>
    <col min="4612" max="4612" width="8.125" style="90" customWidth="1"/>
    <col min="4613" max="4613" width="0" style="90" hidden="1" customWidth="1"/>
    <col min="4614" max="4614" width="4.875" style="90" customWidth="1"/>
    <col min="4615" max="4856" width="8.875" style="90"/>
    <col min="4857" max="4857" width="9" style="90" customWidth="1"/>
    <col min="4858" max="4858" width="15.625" style="90" customWidth="1"/>
    <col min="4859" max="4859" width="7.5" style="90" customWidth="1"/>
    <col min="4860" max="4860" width="7.625" style="90" customWidth="1"/>
    <col min="4861" max="4861" width="6.5" style="90" bestFit="1" customWidth="1"/>
    <col min="4862" max="4862" width="7.5" style="90" bestFit="1" customWidth="1"/>
    <col min="4863" max="4864" width="8.875" style="90"/>
    <col min="4865" max="4865" width="5.5" style="90" customWidth="1"/>
    <col min="4866" max="4866" width="8.875" style="90"/>
    <col min="4867" max="4867" width="64.375" style="90" customWidth="1"/>
    <col min="4868" max="4868" width="8.125" style="90" customWidth="1"/>
    <col min="4869" max="4869" width="0" style="90" hidden="1" customWidth="1"/>
    <col min="4870" max="4870" width="4.875" style="90" customWidth="1"/>
    <col min="4871" max="5112" width="8.875" style="90"/>
    <col min="5113" max="5113" width="9" style="90" customWidth="1"/>
    <col min="5114" max="5114" width="15.625" style="90" customWidth="1"/>
    <col min="5115" max="5115" width="7.5" style="90" customWidth="1"/>
    <col min="5116" max="5116" width="7.625" style="90" customWidth="1"/>
    <col min="5117" max="5117" width="6.5" style="90" bestFit="1" customWidth="1"/>
    <col min="5118" max="5118" width="7.5" style="90" bestFit="1" customWidth="1"/>
    <col min="5119" max="5120" width="8.875" style="90"/>
    <col min="5121" max="5121" width="5.5" style="90" customWidth="1"/>
    <col min="5122" max="5122" width="8.875" style="90"/>
    <col min="5123" max="5123" width="64.375" style="90" customWidth="1"/>
    <col min="5124" max="5124" width="8.125" style="90" customWidth="1"/>
    <col min="5125" max="5125" width="0" style="90" hidden="1" customWidth="1"/>
    <col min="5126" max="5126" width="4.875" style="90" customWidth="1"/>
    <col min="5127" max="5368" width="8.875" style="90"/>
    <col min="5369" max="5369" width="9" style="90" customWidth="1"/>
    <col min="5370" max="5370" width="15.625" style="90" customWidth="1"/>
    <col min="5371" max="5371" width="7.5" style="90" customWidth="1"/>
    <col min="5372" max="5372" width="7.625" style="90" customWidth="1"/>
    <col min="5373" max="5373" width="6.5" style="90" bestFit="1" customWidth="1"/>
    <col min="5374" max="5374" width="7.5" style="90" bestFit="1" customWidth="1"/>
    <col min="5375" max="5376" width="8.875" style="90"/>
    <col min="5377" max="5377" width="5.5" style="90" customWidth="1"/>
    <col min="5378" max="5378" width="8.875" style="90"/>
    <col min="5379" max="5379" width="64.375" style="90" customWidth="1"/>
    <col min="5380" max="5380" width="8.125" style="90" customWidth="1"/>
    <col min="5381" max="5381" width="0" style="90" hidden="1" customWidth="1"/>
    <col min="5382" max="5382" width="4.875" style="90" customWidth="1"/>
    <col min="5383" max="5624" width="8.875" style="90"/>
    <col min="5625" max="5625" width="9" style="90" customWidth="1"/>
    <col min="5626" max="5626" width="15.625" style="90" customWidth="1"/>
    <col min="5627" max="5627" width="7.5" style="90" customWidth="1"/>
    <col min="5628" max="5628" width="7.625" style="90" customWidth="1"/>
    <col min="5629" max="5629" width="6.5" style="90" bestFit="1" customWidth="1"/>
    <col min="5630" max="5630" width="7.5" style="90" bestFit="1" customWidth="1"/>
    <col min="5631" max="5632" width="8.875" style="90"/>
    <col min="5633" max="5633" width="5.5" style="90" customWidth="1"/>
    <col min="5634" max="5634" width="8.875" style="90"/>
    <col min="5635" max="5635" width="64.375" style="90" customWidth="1"/>
    <col min="5636" max="5636" width="8.125" style="90" customWidth="1"/>
    <col min="5637" max="5637" width="0" style="90" hidden="1" customWidth="1"/>
    <col min="5638" max="5638" width="4.875" style="90" customWidth="1"/>
    <col min="5639" max="5880" width="8.875" style="90"/>
    <col min="5881" max="5881" width="9" style="90" customWidth="1"/>
    <col min="5882" max="5882" width="15.625" style="90" customWidth="1"/>
    <col min="5883" max="5883" width="7.5" style="90" customWidth="1"/>
    <col min="5884" max="5884" width="7.625" style="90" customWidth="1"/>
    <col min="5885" max="5885" width="6.5" style="90" bestFit="1" customWidth="1"/>
    <col min="5886" max="5886" width="7.5" style="90" bestFit="1" customWidth="1"/>
    <col min="5887" max="5888" width="8.875" style="90"/>
    <col min="5889" max="5889" width="5.5" style="90" customWidth="1"/>
    <col min="5890" max="5890" width="8.875" style="90"/>
    <col min="5891" max="5891" width="64.375" style="90" customWidth="1"/>
    <col min="5892" max="5892" width="8.125" style="90" customWidth="1"/>
    <col min="5893" max="5893" width="0" style="90" hidden="1" customWidth="1"/>
    <col min="5894" max="5894" width="4.875" style="90" customWidth="1"/>
    <col min="5895" max="6136" width="8.875" style="90"/>
    <col min="6137" max="6137" width="9" style="90" customWidth="1"/>
    <col min="6138" max="6138" width="15.625" style="90" customWidth="1"/>
    <col min="6139" max="6139" width="7.5" style="90" customWidth="1"/>
    <col min="6140" max="6140" width="7.625" style="90" customWidth="1"/>
    <col min="6141" max="6141" width="6.5" style="90" bestFit="1" customWidth="1"/>
    <col min="6142" max="6142" width="7.5" style="90" bestFit="1" customWidth="1"/>
    <col min="6143" max="6144" width="8.875" style="90"/>
    <col min="6145" max="6145" width="5.5" style="90" customWidth="1"/>
    <col min="6146" max="6146" width="8.875" style="90"/>
    <col min="6147" max="6147" width="64.375" style="90" customWidth="1"/>
    <col min="6148" max="6148" width="8.125" style="90" customWidth="1"/>
    <col min="6149" max="6149" width="0" style="90" hidden="1" customWidth="1"/>
    <col min="6150" max="6150" width="4.875" style="90" customWidth="1"/>
    <col min="6151" max="6392" width="8.875" style="90"/>
    <col min="6393" max="6393" width="9" style="90" customWidth="1"/>
    <col min="6394" max="6394" width="15.625" style="90" customWidth="1"/>
    <col min="6395" max="6395" width="7.5" style="90" customWidth="1"/>
    <col min="6396" max="6396" width="7.625" style="90" customWidth="1"/>
    <col min="6397" max="6397" width="6.5" style="90" bestFit="1" customWidth="1"/>
    <col min="6398" max="6398" width="7.5" style="90" bestFit="1" customWidth="1"/>
    <col min="6399" max="6400" width="8.875" style="90"/>
    <col min="6401" max="6401" width="5.5" style="90" customWidth="1"/>
    <col min="6402" max="6402" width="8.875" style="90"/>
    <col min="6403" max="6403" width="64.375" style="90" customWidth="1"/>
    <col min="6404" max="6404" width="8.125" style="90" customWidth="1"/>
    <col min="6405" max="6405" width="0" style="90" hidden="1" customWidth="1"/>
    <col min="6406" max="6406" width="4.875" style="90" customWidth="1"/>
    <col min="6407" max="6648" width="8.875" style="90"/>
    <col min="6649" max="6649" width="9" style="90" customWidth="1"/>
    <col min="6650" max="6650" width="15.625" style="90" customWidth="1"/>
    <col min="6651" max="6651" width="7.5" style="90" customWidth="1"/>
    <col min="6652" max="6652" width="7.625" style="90" customWidth="1"/>
    <col min="6653" max="6653" width="6.5" style="90" bestFit="1" customWidth="1"/>
    <col min="6654" max="6654" width="7.5" style="90" bestFit="1" customWidth="1"/>
    <col min="6655" max="6656" width="8.875" style="90"/>
    <col min="6657" max="6657" width="5.5" style="90" customWidth="1"/>
    <col min="6658" max="6658" width="8.875" style="90"/>
    <col min="6659" max="6659" width="64.375" style="90" customWidth="1"/>
    <col min="6660" max="6660" width="8.125" style="90" customWidth="1"/>
    <col min="6661" max="6661" width="0" style="90" hidden="1" customWidth="1"/>
    <col min="6662" max="6662" width="4.875" style="90" customWidth="1"/>
    <col min="6663" max="6904" width="8.875" style="90"/>
    <col min="6905" max="6905" width="9" style="90" customWidth="1"/>
    <col min="6906" max="6906" width="15.625" style="90" customWidth="1"/>
    <col min="6907" max="6907" width="7.5" style="90" customWidth="1"/>
    <col min="6908" max="6908" width="7.625" style="90" customWidth="1"/>
    <col min="6909" max="6909" width="6.5" style="90" bestFit="1" customWidth="1"/>
    <col min="6910" max="6910" width="7.5" style="90" bestFit="1" customWidth="1"/>
    <col min="6911" max="6912" width="8.875" style="90"/>
    <col min="6913" max="6913" width="5.5" style="90" customWidth="1"/>
    <col min="6914" max="6914" width="8.875" style="90"/>
    <col min="6915" max="6915" width="64.375" style="90" customWidth="1"/>
    <col min="6916" max="6916" width="8.125" style="90" customWidth="1"/>
    <col min="6917" max="6917" width="0" style="90" hidden="1" customWidth="1"/>
    <col min="6918" max="6918" width="4.875" style="90" customWidth="1"/>
    <col min="6919" max="7160" width="8.875" style="90"/>
    <col min="7161" max="7161" width="9" style="90" customWidth="1"/>
    <col min="7162" max="7162" width="15.625" style="90" customWidth="1"/>
    <col min="7163" max="7163" width="7.5" style="90" customWidth="1"/>
    <col min="7164" max="7164" width="7.625" style="90" customWidth="1"/>
    <col min="7165" max="7165" width="6.5" style="90" bestFit="1" customWidth="1"/>
    <col min="7166" max="7166" width="7.5" style="90" bestFit="1" customWidth="1"/>
    <col min="7167" max="7168" width="8.875" style="90"/>
    <col min="7169" max="7169" width="5.5" style="90" customWidth="1"/>
    <col min="7170" max="7170" width="8.875" style="90"/>
    <col min="7171" max="7171" width="64.375" style="90" customWidth="1"/>
    <col min="7172" max="7172" width="8.125" style="90" customWidth="1"/>
    <col min="7173" max="7173" width="0" style="90" hidden="1" customWidth="1"/>
    <col min="7174" max="7174" width="4.875" style="90" customWidth="1"/>
    <col min="7175" max="7416" width="8.875" style="90"/>
    <col min="7417" max="7417" width="9" style="90" customWidth="1"/>
    <col min="7418" max="7418" width="15.625" style="90" customWidth="1"/>
    <col min="7419" max="7419" width="7.5" style="90" customWidth="1"/>
    <col min="7420" max="7420" width="7.625" style="90" customWidth="1"/>
    <col min="7421" max="7421" width="6.5" style="90" bestFit="1" customWidth="1"/>
    <col min="7422" max="7422" width="7.5" style="90" bestFit="1" customWidth="1"/>
    <col min="7423" max="7424" width="8.875" style="90"/>
    <col min="7425" max="7425" width="5.5" style="90" customWidth="1"/>
    <col min="7426" max="7426" width="8.875" style="90"/>
    <col min="7427" max="7427" width="64.375" style="90" customWidth="1"/>
    <col min="7428" max="7428" width="8.125" style="90" customWidth="1"/>
    <col min="7429" max="7429" width="0" style="90" hidden="1" customWidth="1"/>
    <col min="7430" max="7430" width="4.875" style="90" customWidth="1"/>
    <col min="7431" max="7672" width="8.875" style="90"/>
    <col min="7673" max="7673" width="9" style="90" customWidth="1"/>
    <col min="7674" max="7674" width="15.625" style="90" customWidth="1"/>
    <col min="7675" max="7675" width="7.5" style="90" customWidth="1"/>
    <col min="7676" max="7676" width="7.625" style="90" customWidth="1"/>
    <col min="7677" max="7677" width="6.5" style="90" bestFit="1" customWidth="1"/>
    <col min="7678" max="7678" width="7.5" style="90" bestFit="1" customWidth="1"/>
    <col min="7679" max="7680" width="8.875" style="90"/>
    <col min="7681" max="7681" width="5.5" style="90" customWidth="1"/>
    <col min="7682" max="7682" width="8.875" style="90"/>
    <col min="7683" max="7683" width="64.375" style="90" customWidth="1"/>
    <col min="7684" max="7684" width="8.125" style="90" customWidth="1"/>
    <col min="7685" max="7685" width="0" style="90" hidden="1" customWidth="1"/>
    <col min="7686" max="7686" width="4.875" style="90" customWidth="1"/>
    <col min="7687" max="7928" width="8.875" style="90"/>
    <col min="7929" max="7929" width="9" style="90" customWidth="1"/>
    <col min="7930" max="7930" width="15.625" style="90" customWidth="1"/>
    <col min="7931" max="7931" width="7.5" style="90" customWidth="1"/>
    <col min="7932" max="7932" width="7.625" style="90" customWidth="1"/>
    <col min="7933" max="7933" width="6.5" style="90" bestFit="1" customWidth="1"/>
    <col min="7934" max="7934" width="7.5" style="90" bestFit="1" customWidth="1"/>
    <col min="7935" max="7936" width="8.875" style="90"/>
    <col min="7937" max="7937" width="5.5" style="90" customWidth="1"/>
    <col min="7938" max="7938" width="8.875" style="90"/>
    <col min="7939" max="7939" width="64.375" style="90" customWidth="1"/>
    <col min="7940" max="7940" width="8.125" style="90" customWidth="1"/>
    <col min="7941" max="7941" width="0" style="90" hidden="1" customWidth="1"/>
    <col min="7942" max="7942" width="4.875" style="90" customWidth="1"/>
    <col min="7943" max="8184" width="8.875" style="90"/>
    <col min="8185" max="8185" width="9" style="90" customWidth="1"/>
    <col min="8186" max="8186" width="15.625" style="90" customWidth="1"/>
    <col min="8187" max="8187" width="7.5" style="90" customWidth="1"/>
    <col min="8188" max="8188" width="7.625" style="90" customWidth="1"/>
    <col min="8189" max="8189" width="6.5" style="90" bestFit="1" customWidth="1"/>
    <col min="8190" max="8190" width="7.5" style="90" bestFit="1" customWidth="1"/>
    <col min="8191" max="8192" width="8.875" style="90"/>
    <col min="8193" max="8193" width="5.5" style="90" customWidth="1"/>
    <col min="8194" max="8194" width="8.875" style="90"/>
    <col min="8195" max="8195" width="64.375" style="90" customWidth="1"/>
    <col min="8196" max="8196" width="8.125" style="90" customWidth="1"/>
    <col min="8197" max="8197" width="0" style="90" hidden="1" customWidth="1"/>
    <col min="8198" max="8198" width="4.875" style="90" customWidth="1"/>
    <col min="8199" max="8440" width="8.875" style="90"/>
    <col min="8441" max="8441" width="9" style="90" customWidth="1"/>
    <col min="8442" max="8442" width="15.625" style="90" customWidth="1"/>
    <col min="8443" max="8443" width="7.5" style="90" customWidth="1"/>
    <col min="8444" max="8444" width="7.625" style="90" customWidth="1"/>
    <col min="8445" max="8445" width="6.5" style="90" bestFit="1" customWidth="1"/>
    <col min="8446" max="8446" width="7.5" style="90" bestFit="1" customWidth="1"/>
    <col min="8447" max="8448" width="8.875" style="90"/>
    <col min="8449" max="8449" width="5.5" style="90" customWidth="1"/>
    <col min="8450" max="8450" width="8.875" style="90"/>
    <col min="8451" max="8451" width="64.375" style="90" customWidth="1"/>
    <col min="8452" max="8452" width="8.125" style="90" customWidth="1"/>
    <col min="8453" max="8453" width="0" style="90" hidden="1" customWidth="1"/>
    <col min="8454" max="8454" width="4.875" style="90" customWidth="1"/>
    <col min="8455" max="8696" width="8.875" style="90"/>
    <col min="8697" max="8697" width="9" style="90" customWidth="1"/>
    <col min="8698" max="8698" width="15.625" style="90" customWidth="1"/>
    <col min="8699" max="8699" width="7.5" style="90" customWidth="1"/>
    <col min="8700" max="8700" width="7.625" style="90" customWidth="1"/>
    <col min="8701" max="8701" width="6.5" style="90" bestFit="1" customWidth="1"/>
    <col min="8702" max="8702" width="7.5" style="90" bestFit="1" customWidth="1"/>
    <col min="8703" max="8704" width="8.875" style="90"/>
    <col min="8705" max="8705" width="5.5" style="90" customWidth="1"/>
    <col min="8706" max="8706" width="8.875" style="90"/>
    <col min="8707" max="8707" width="64.375" style="90" customWidth="1"/>
    <col min="8708" max="8708" width="8.125" style="90" customWidth="1"/>
    <col min="8709" max="8709" width="0" style="90" hidden="1" customWidth="1"/>
    <col min="8710" max="8710" width="4.875" style="90" customWidth="1"/>
    <col min="8711" max="8952" width="8.875" style="90"/>
    <col min="8953" max="8953" width="9" style="90" customWidth="1"/>
    <col min="8954" max="8954" width="15.625" style="90" customWidth="1"/>
    <col min="8955" max="8955" width="7.5" style="90" customWidth="1"/>
    <col min="8956" max="8956" width="7.625" style="90" customWidth="1"/>
    <col min="8957" max="8957" width="6.5" style="90" bestFit="1" customWidth="1"/>
    <col min="8958" max="8958" width="7.5" style="90" bestFit="1" customWidth="1"/>
    <col min="8959" max="8960" width="8.875" style="90"/>
    <col min="8961" max="8961" width="5.5" style="90" customWidth="1"/>
    <col min="8962" max="8962" width="8.875" style="90"/>
    <col min="8963" max="8963" width="64.375" style="90" customWidth="1"/>
    <col min="8964" max="8964" width="8.125" style="90" customWidth="1"/>
    <col min="8965" max="8965" width="0" style="90" hidden="1" customWidth="1"/>
    <col min="8966" max="8966" width="4.875" style="90" customWidth="1"/>
    <col min="8967" max="9208" width="8.875" style="90"/>
    <col min="9209" max="9209" width="9" style="90" customWidth="1"/>
    <col min="9210" max="9210" width="15.625" style="90" customWidth="1"/>
    <col min="9211" max="9211" width="7.5" style="90" customWidth="1"/>
    <col min="9212" max="9212" width="7.625" style="90" customWidth="1"/>
    <col min="9213" max="9213" width="6.5" style="90" bestFit="1" customWidth="1"/>
    <col min="9214" max="9214" width="7.5" style="90" bestFit="1" customWidth="1"/>
    <col min="9215" max="9216" width="8.875" style="90"/>
    <col min="9217" max="9217" width="5.5" style="90" customWidth="1"/>
    <col min="9218" max="9218" width="8.875" style="90"/>
    <col min="9219" max="9219" width="64.375" style="90" customWidth="1"/>
    <col min="9220" max="9220" width="8.125" style="90" customWidth="1"/>
    <col min="9221" max="9221" width="0" style="90" hidden="1" customWidth="1"/>
    <col min="9222" max="9222" width="4.875" style="90" customWidth="1"/>
    <col min="9223" max="9464" width="8.875" style="90"/>
    <col min="9465" max="9465" width="9" style="90" customWidth="1"/>
    <col min="9466" max="9466" width="15.625" style="90" customWidth="1"/>
    <col min="9467" max="9467" width="7.5" style="90" customWidth="1"/>
    <col min="9468" max="9468" width="7.625" style="90" customWidth="1"/>
    <col min="9469" max="9469" width="6.5" style="90" bestFit="1" customWidth="1"/>
    <col min="9470" max="9470" width="7.5" style="90" bestFit="1" customWidth="1"/>
    <col min="9471" max="9472" width="8.875" style="90"/>
    <col min="9473" max="9473" width="5.5" style="90" customWidth="1"/>
    <col min="9474" max="9474" width="8.875" style="90"/>
    <col min="9475" max="9475" width="64.375" style="90" customWidth="1"/>
    <col min="9476" max="9476" width="8.125" style="90" customWidth="1"/>
    <col min="9477" max="9477" width="0" style="90" hidden="1" customWidth="1"/>
    <col min="9478" max="9478" width="4.875" style="90" customWidth="1"/>
    <col min="9479" max="9720" width="8.875" style="90"/>
    <col min="9721" max="9721" width="9" style="90" customWidth="1"/>
    <col min="9722" max="9722" width="15.625" style="90" customWidth="1"/>
    <col min="9723" max="9723" width="7.5" style="90" customWidth="1"/>
    <col min="9724" max="9724" width="7.625" style="90" customWidth="1"/>
    <col min="9725" max="9725" width="6.5" style="90" bestFit="1" customWidth="1"/>
    <col min="9726" max="9726" width="7.5" style="90" bestFit="1" customWidth="1"/>
    <col min="9727" max="9728" width="8.875" style="90"/>
    <col min="9729" max="9729" width="5.5" style="90" customWidth="1"/>
    <col min="9730" max="9730" width="8.875" style="90"/>
    <col min="9731" max="9731" width="64.375" style="90" customWidth="1"/>
    <col min="9732" max="9732" width="8.125" style="90" customWidth="1"/>
    <col min="9733" max="9733" width="0" style="90" hidden="1" customWidth="1"/>
    <col min="9734" max="9734" width="4.875" style="90" customWidth="1"/>
    <col min="9735" max="9976" width="8.875" style="90"/>
    <col min="9977" max="9977" width="9" style="90" customWidth="1"/>
    <col min="9978" max="9978" width="15.625" style="90" customWidth="1"/>
    <col min="9979" max="9979" width="7.5" style="90" customWidth="1"/>
    <col min="9980" max="9980" width="7.625" style="90" customWidth="1"/>
    <col min="9981" max="9981" width="6.5" style="90" bestFit="1" customWidth="1"/>
    <col min="9982" max="9982" width="7.5" style="90" bestFit="1" customWidth="1"/>
    <col min="9983" max="9984" width="8.875" style="90"/>
    <col min="9985" max="9985" width="5.5" style="90" customWidth="1"/>
    <col min="9986" max="9986" width="8.875" style="90"/>
    <col min="9987" max="9987" width="64.375" style="90" customWidth="1"/>
    <col min="9988" max="9988" width="8.125" style="90" customWidth="1"/>
    <col min="9989" max="9989" width="0" style="90" hidden="1" customWidth="1"/>
    <col min="9990" max="9990" width="4.875" style="90" customWidth="1"/>
    <col min="9991" max="10232" width="8.875" style="90"/>
    <col min="10233" max="10233" width="9" style="90" customWidth="1"/>
    <col min="10234" max="10234" width="15.625" style="90" customWidth="1"/>
    <col min="10235" max="10235" width="7.5" style="90" customWidth="1"/>
    <col min="10236" max="10236" width="7.625" style="90" customWidth="1"/>
    <col min="10237" max="10237" width="6.5" style="90" bestFit="1" customWidth="1"/>
    <col min="10238" max="10238" width="7.5" style="90" bestFit="1" customWidth="1"/>
    <col min="10239" max="10240" width="8.875" style="90"/>
    <col min="10241" max="10241" width="5.5" style="90" customWidth="1"/>
    <col min="10242" max="10242" width="8.875" style="90"/>
    <col min="10243" max="10243" width="64.375" style="90" customWidth="1"/>
    <col min="10244" max="10244" width="8.125" style="90" customWidth="1"/>
    <col min="10245" max="10245" width="0" style="90" hidden="1" customWidth="1"/>
    <col min="10246" max="10246" width="4.875" style="90" customWidth="1"/>
    <col min="10247" max="10488" width="8.875" style="90"/>
    <col min="10489" max="10489" width="9" style="90" customWidth="1"/>
    <col min="10490" max="10490" width="15.625" style="90" customWidth="1"/>
    <col min="10491" max="10491" width="7.5" style="90" customWidth="1"/>
    <col min="10492" max="10492" width="7.625" style="90" customWidth="1"/>
    <col min="10493" max="10493" width="6.5" style="90" bestFit="1" customWidth="1"/>
    <col min="10494" max="10494" width="7.5" style="90" bestFit="1" customWidth="1"/>
    <col min="10495" max="10496" width="8.875" style="90"/>
    <col min="10497" max="10497" width="5.5" style="90" customWidth="1"/>
    <col min="10498" max="10498" width="8.875" style="90"/>
    <col min="10499" max="10499" width="64.375" style="90" customWidth="1"/>
    <col min="10500" max="10500" width="8.125" style="90" customWidth="1"/>
    <col min="10501" max="10501" width="0" style="90" hidden="1" customWidth="1"/>
    <col min="10502" max="10502" width="4.875" style="90" customWidth="1"/>
    <col min="10503" max="10744" width="8.875" style="90"/>
    <col min="10745" max="10745" width="9" style="90" customWidth="1"/>
    <col min="10746" max="10746" width="15.625" style="90" customWidth="1"/>
    <col min="10747" max="10747" width="7.5" style="90" customWidth="1"/>
    <col min="10748" max="10748" width="7.625" style="90" customWidth="1"/>
    <col min="10749" max="10749" width="6.5" style="90" bestFit="1" customWidth="1"/>
    <col min="10750" max="10750" width="7.5" style="90" bestFit="1" customWidth="1"/>
    <col min="10751" max="10752" width="8.875" style="90"/>
    <col min="10753" max="10753" width="5.5" style="90" customWidth="1"/>
    <col min="10754" max="10754" width="8.875" style="90"/>
    <col min="10755" max="10755" width="64.375" style="90" customWidth="1"/>
    <col min="10756" max="10756" width="8.125" style="90" customWidth="1"/>
    <col min="10757" max="10757" width="0" style="90" hidden="1" customWidth="1"/>
    <col min="10758" max="10758" width="4.875" style="90" customWidth="1"/>
    <col min="10759" max="11000" width="8.875" style="90"/>
    <col min="11001" max="11001" width="9" style="90" customWidth="1"/>
    <col min="11002" max="11002" width="15.625" style="90" customWidth="1"/>
    <col min="11003" max="11003" width="7.5" style="90" customWidth="1"/>
    <col min="11004" max="11004" width="7.625" style="90" customWidth="1"/>
    <col min="11005" max="11005" width="6.5" style="90" bestFit="1" customWidth="1"/>
    <col min="11006" max="11006" width="7.5" style="90" bestFit="1" customWidth="1"/>
    <col min="11007" max="11008" width="8.875" style="90"/>
    <col min="11009" max="11009" width="5.5" style="90" customWidth="1"/>
    <col min="11010" max="11010" width="8.875" style="90"/>
    <col min="11011" max="11011" width="64.375" style="90" customWidth="1"/>
    <col min="11012" max="11012" width="8.125" style="90" customWidth="1"/>
    <col min="11013" max="11013" width="0" style="90" hidden="1" customWidth="1"/>
    <col min="11014" max="11014" width="4.875" style="90" customWidth="1"/>
    <col min="11015" max="11256" width="8.875" style="90"/>
    <col min="11257" max="11257" width="9" style="90" customWidth="1"/>
    <col min="11258" max="11258" width="15.625" style="90" customWidth="1"/>
    <col min="11259" max="11259" width="7.5" style="90" customWidth="1"/>
    <col min="11260" max="11260" width="7.625" style="90" customWidth="1"/>
    <col min="11261" max="11261" width="6.5" style="90" bestFit="1" customWidth="1"/>
    <col min="11262" max="11262" width="7.5" style="90" bestFit="1" customWidth="1"/>
    <col min="11263" max="11264" width="8.875" style="90"/>
    <col min="11265" max="11265" width="5.5" style="90" customWidth="1"/>
    <col min="11266" max="11266" width="8.875" style="90"/>
    <col min="11267" max="11267" width="64.375" style="90" customWidth="1"/>
    <col min="11268" max="11268" width="8.125" style="90" customWidth="1"/>
    <col min="11269" max="11269" width="0" style="90" hidden="1" customWidth="1"/>
    <col min="11270" max="11270" width="4.875" style="90" customWidth="1"/>
    <col min="11271" max="11512" width="8.875" style="90"/>
    <col min="11513" max="11513" width="9" style="90" customWidth="1"/>
    <col min="11514" max="11514" width="15.625" style="90" customWidth="1"/>
    <col min="11515" max="11515" width="7.5" style="90" customWidth="1"/>
    <col min="11516" max="11516" width="7.625" style="90" customWidth="1"/>
    <col min="11517" max="11517" width="6.5" style="90" bestFit="1" customWidth="1"/>
    <col min="11518" max="11518" width="7.5" style="90" bestFit="1" customWidth="1"/>
    <col min="11519" max="11520" width="8.875" style="90"/>
    <col min="11521" max="11521" width="5.5" style="90" customWidth="1"/>
    <col min="11522" max="11522" width="8.875" style="90"/>
    <col min="11523" max="11523" width="64.375" style="90" customWidth="1"/>
    <col min="11524" max="11524" width="8.125" style="90" customWidth="1"/>
    <col min="11525" max="11525" width="0" style="90" hidden="1" customWidth="1"/>
    <col min="11526" max="11526" width="4.875" style="90" customWidth="1"/>
    <col min="11527" max="11768" width="8.875" style="90"/>
    <col min="11769" max="11769" width="9" style="90" customWidth="1"/>
    <col min="11770" max="11770" width="15.625" style="90" customWidth="1"/>
    <col min="11771" max="11771" width="7.5" style="90" customWidth="1"/>
    <col min="11772" max="11772" width="7.625" style="90" customWidth="1"/>
    <col min="11773" max="11773" width="6.5" style="90" bestFit="1" customWidth="1"/>
    <col min="11774" max="11774" width="7.5" style="90" bestFit="1" customWidth="1"/>
    <col min="11775" max="11776" width="8.875" style="90"/>
    <col min="11777" max="11777" width="5.5" style="90" customWidth="1"/>
    <col min="11778" max="11778" width="8.875" style="90"/>
    <col min="11779" max="11779" width="64.375" style="90" customWidth="1"/>
    <col min="11780" max="11780" width="8.125" style="90" customWidth="1"/>
    <col min="11781" max="11781" width="0" style="90" hidden="1" customWidth="1"/>
    <col min="11782" max="11782" width="4.875" style="90" customWidth="1"/>
    <col min="11783" max="12024" width="8.875" style="90"/>
    <col min="12025" max="12025" width="9" style="90" customWidth="1"/>
    <col min="12026" max="12026" width="15.625" style="90" customWidth="1"/>
    <col min="12027" max="12027" width="7.5" style="90" customWidth="1"/>
    <col min="12028" max="12028" width="7.625" style="90" customWidth="1"/>
    <col min="12029" max="12029" width="6.5" style="90" bestFit="1" customWidth="1"/>
    <col min="12030" max="12030" width="7.5" style="90" bestFit="1" customWidth="1"/>
    <col min="12031" max="12032" width="8.875" style="90"/>
    <col min="12033" max="12033" width="5.5" style="90" customWidth="1"/>
    <col min="12034" max="12034" width="8.875" style="90"/>
    <col min="12035" max="12035" width="64.375" style="90" customWidth="1"/>
    <col min="12036" max="12036" width="8.125" style="90" customWidth="1"/>
    <col min="12037" max="12037" width="0" style="90" hidden="1" customWidth="1"/>
    <col min="12038" max="12038" width="4.875" style="90" customWidth="1"/>
    <col min="12039" max="12280" width="8.875" style="90"/>
    <col min="12281" max="12281" width="9" style="90" customWidth="1"/>
    <col min="12282" max="12282" width="15.625" style="90" customWidth="1"/>
    <col min="12283" max="12283" width="7.5" style="90" customWidth="1"/>
    <col min="12284" max="12284" width="7.625" style="90" customWidth="1"/>
    <col min="12285" max="12285" width="6.5" style="90" bestFit="1" customWidth="1"/>
    <col min="12286" max="12286" width="7.5" style="90" bestFit="1" customWidth="1"/>
    <col min="12287" max="12288" width="8.875" style="90"/>
    <col min="12289" max="12289" width="5.5" style="90" customWidth="1"/>
    <col min="12290" max="12290" width="8.875" style="90"/>
    <col min="12291" max="12291" width="64.375" style="90" customWidth="1"/>
    <col min="12292" max="12292" width="8.125" style="90" customWidth="1"/>
    <col min="12293" max="12293" width="0" style="90" hidden="1" customWidth="1"/>
    <col min="12294" max="12294" width="4.875" style="90" customWidth="1"/>
    <col min="12295" max="12536" width="8.875" style="90"/>
    <col min="12537" max="12537" width="9" style="90" customWidth="1"/>
    <col min="12538" max="12538" width="15.625" style="90" customWidth="1"/>
    <col min="12539" max="12539" width="7.5" style="90" customWidth="1"/>
    <col min="12540" max="12540" width="7.625" style="90" customWidth="1"/>
    <col min="12541" max="12541" width="6.5" style="90" bestFit="1" customWidth="1"/>
    <col min="12542" max="12542" width="7.5" style="90" bestFit="1" customWidth="1"/>
    <col min="12543" max="12544" width="8.875" style="90"/>
    <col min="12545" max="12545" width="5.5" style="90" customWidth="1"/>
    <col min="12546" max="12546" width="8.875" style="90"/>
    <col min="12547" max="12547" width="64.375" style="90" customWidth="1"/>
    <col min="12548" max="12548" width="8.125" style="90" customWidth="1"/>
    <col min="12549" max="12549" width="0" style="90" hidden="1" customWidth="1"/>
    <col min="12550" max="12550" width="4.875" style="90" customWidth="1"/>
    <col min="12551" max="12792" width="8.875" style="90"/>
    <col min="12793" max="12793" width="9" style="90" customWidth="1"/>
    <col min="12794" max="12794" width="15.625" style="90" customWidth="1"/>
    <col min="12795" max="12795" width="7.5" style="90" customWidth="1"/>
    <col min="12796" max="12796" width="7.625" style="90" customWidth="1"/>
    <col min="12797" max="12797" width="6.5" style="90" bestFit="1" customWidth="1"/>
    <col min="12798" max="12798" width="7.5" style="90" bestFit="1" customWidth="1"/>
    <col min="12799" max="12800" width="8.875" style="90"/>
    <col min="12801" max="12801" width="5.5" style="90" customWidth="1"/>
    <col min="12802" max="12802" width="8.875" style="90"/>
    <col min="12803" max="12803" width="64.375" style="90" customWidth="1"/>
    <col min="12804" max="12804" width="8.125" style="90" customWidth="1"/>
    <col min="12805" max="12805" width="0" style="90" hidden="1" customWidth="1"/>
    <col min="12806" max="12806" width="4.875" style="90" customWidth="1"/>
    <col min="12807" max="13048" width="8.875" style="90"/>
    <col min="13049" max="13049" width="9" style="90" customWidth="1"/>
    <col min="13050" max="13050" width="15.625" style="90" customWidth="1"/>
    <col min="13051" max="13051" width="7.5" style="90" customWidth="1"/>
    <col min="13052" max="13052" width="7.625" style="90" customWidth="1"/>
    <col min="13053" max="13053" width="6.5" style="90" bestFit="1" customWidth="1"/>
    <col min="13054" max="13054" width="7.5" style="90" bestFit="1" customWidth="1"/>
    <col min="13055" max="13056" width="8.875" style="90"/>
    <col min="13057" max="13057" width="5.5" style="90" customWidth="1"/>
    <col min="13058" max="13058" width="8.875" style="90"/>
    <col min="13059" max="13059" width="64.375" style="90" customWidth="1"/>
    <col min="13060" max="13060" width="8.125" style="90" customWidth="1"/>
    <col min="13061" max="13061" width="0" style="90" hidden="1" customWidth="1"/>
    <col min="13062" max="13062" width="4.875" style="90" customWidth="1"/>
    <col min="13063" max="13304" width="8.875" style="90"/>
    <col min="13305" max="13305" width="9" style="90" customWidth="1"/>
    <col min="13306" max="13306" width="15.625" style="90" customWidth="1"/>
    <col min="13307" max="13307" width="7.5" style="90" customWidth="1"/>
    <col min="13308" max="13308" width="7.625" style="90" customWidth="1"/>
    <col min="13309" max="13309" width="6.5" style="90" bestFit="1" customWidth="1"/>
    <col min="13310" max="13310" width="7.5" style="90" bestFit="1" customWidth="1"/>
    <col min="13311" max="13312" width="8.875" style="90"/>
    <col min="13313" max="13313" width="5.5" style="90" customWidth="1"/>
    <col min="13314" max="13314" width="8.875" style="90"/>
    <col min="13315" max="13315" width="64.375" style="90" customWidth="1"/>
    <col min="13316" max="13316" width="8.125" style="90" customWidth="1"/>
    <col min="13317" max="13317" width="0" style="90" hidden="1" customWidth="1"/>
    <col min="13318" max="13318" width="4.875" style="90" customWidth="1"/>
    <col min="13319" max="13560" width="8.875" style="90"/>
    <col min="13561" max="13561" width="9" style="90" customWidth="1"/>
    <col min="13562" max="13562" width="15.625" style="90" customWidth="1"/>
    <col min="13563" max="13563" width="7.5" style="90" customWidth="1"/>
    <col min="13564" max="13564" width="7.625" style="90" customWidth="1"/>
    <col min="13565" max="13565" width="6.5" style="90" bestFit="1" customWidth="1"/>
    <col min="13566" max="13566" width="7.5" style="90" bestFit="1" customWidth="1"/>
    <col min="13567" max="13568" width="8.875" style="90"/>
    <col min="13569" max="13569" width="5.5" style="90" customWidth="1"/>
    <col min="13570" max="13570" width="8.875" style="90"/>
    <col min="13571" max="13571" width="64.375" style="90" customWidth="1"/>
    <col min="13572" max="13572" width="8.125" style="90" customWidth="1"/>
    <col min="13573" max="13573" width="0" style="90" hidden="1" customWidth="1"/>
    <col min="13574" max="13574" width="4.875" style="90" customWidth="1"/>
    <col min="13575" max="13816" width="8.875" style="90"/>
    <col min="13817" max="13817" width="9" style="90" customWidth="1"/>
    <col min="13818" max="13818" width="15.625" style="90" customWidth="1"/>
    <col min="13819" max="13819" width="7.5" style="90" customWidth="1"/>
    <col min="13820" max="13820" width="7.625" style="90" customWidth="1"/>
    <col min="13821" max="13821" width="6.5" style="90" bestFit="1" customWidth="1"/>
    <col min="13822" max="13822" width="7.5" style="90" bestFit="1" customWidth="1"/>
    <col min="13823" max="13824" width="8.875" style="90"/>
    <col min="13825" max="13825" width="5.5" style="90" customWidth="1"/>
    <col min="13826" max="13826" width="8.875" style="90"/>
    <col min="13827" max="13827" width="64.375" style="90" customWidth="1"/>
    <col min="13828" max="13828" width="8.125" style="90" customWidth="1"/>
    <col min="13829" max="13829" width="0" style="90" hidden="1" customWidth="1"/>
    <col min="13830" max="13830" width="4.875" style="90" customWidth="1"/>
    <col min="13831" max="14072" width="8.875" style="90"/>
    <col min="14073" max="14073" width="9" style="90" customWidth="1"/>
    <col min="14074" max="14074" width="15.625" style="90" customWidth="1"/>
    <col min="14075" max="14075" width="7.5" style="90" customWidth="1"/>
    <col min="14076" max="14076" width="7.625" style="90" customWidth="1"/>
    <col min="14077" max="14077" width="6.5" style="90" bestFit="1" customWidth="1"/>
    <col min="14078" max="14078" width="7.5" style="90" bestFit="1" customWidth="1"/>
    <col min="14079" max="14080" width="8.875" style="90"/>
    <col min="14081" max="14081" width="5.5" style="90" customWidth="1"/>
    <col min="14082" max="14082" width="8.875" style="90"/>
    <col min="14083" max="14083" width="64.375" style="90" customWidth="1"/>
    <col min="14084" max="14084" width="8.125" style="90" customWidth="1"/>
    <col min="14085" max="14085" width="0" style="90" hidden="1" customWidth="1"/>
    <col min="14086" max="14086" width="4.875" style="90" customWidth="1"/>
    <col min="14087" max="14328" width="8.875" style="90"/>
    <col min="14329" max="14329" width="9" style="90" customWidth="1"/>
    <col min="14330" max="14330" width="15.625" style="90" customWidth="1"/>
    <col min="14331" max="14331" width="7.5" style="90" customWidth="1"/>
    <col min="14332" max="14332" width="7.625" style="90" customWidth="1"/>
    <col min="14333" max="14333" width="6.5" style="90" bestFit="1" customWidth="1"/>
    <col min="14334" max="14334" width="7.5" style="90" bestFit="1" customWidth="1"/>
    <col min="14335" max="14336" width="8.875" style="90"/>
    <col min="14337" max="14337" width="5.5" style="90" customWidth="1"/>
    <col min="14338" max="14338" width="8.875" style="90"/>
    <col min="14339" max="14339" width="64.375" style="90" customWidth="1"/>
    <col min="14340" max="14340" width="8.125" style="90" customWidth="1"/>
    <col min="14341" max="14341" width="0" style="90" hidden="1" customWidth="1"/>
    <col min="14342" max="14342" width="4.875" style="90" customWidth="1"/>
    <col min="14343" max="14584" width="8.875" style="90"/>
    <col min="14585" max="14585" width="9" style="90" customWidth="1"/>
    <col min="14586" max="14586" width="15.625" style="90" customWidth="1"/>
    <col min="14587" max="14587" width="7.5" style="90" customWidth="1"/>
    <col min="14588" max="14588" width="7.625" style="90" customWidth="1"/>
    <col min="14589" max="14589" width="6.5" style="90" bestFit="1" customWidth="1"/>
    <col min="14590" max="14590" width="7.5" style="90" bestFit="1" customWidth="1"/>
    <col min="14591" max="14592" width="8.875" style="90"/>
    <col min="14593" max="14593" width="5.5" style="90" customWidth="1"/>
    <col min="14594" max="14594" width="8.875" style="90"/>
    <col min="14595" max="14595" width="64.375" style="90" customWidth="1"/>
    <col min="14596" max="14596" width="8.125" style="90" customWidth="1"/>
    <col min="14597" max="14597" width="0" style="90" hidden="1" customWidth="1"/>
    <col min="14598" max="14598" width="4.875" style="90" customWidth="1"/>
    <col min="14599" max="14840" width="8.875" style="90"/>
    <col min="14841" max="14841" width="9" style="90" customWidth="1"/>
    <col min="14842" max="14842" width="15.625" style="90" customWidth="1"/>
    <col min="14843" max="14843" width="7.5" style="90" customWidth="1"/>
    <col min="14844" max="14844" width="7.625" style="90" customWidth="1"/>
    <col min="14845" max="14845" width="6.5" style="90" bestFit="1" customWidth="1"/>
    <col min="14846" max="14846" width="7.5" style="90" bestFit="1" customWidth="1"/>
    <col min="14847" max="14848" width="8.875" style="90"/>
    <col min="14849" max="14849" width="5.5" style="90" customWidth="1"/>
    <col min="14850" max="14850" width="8.875" style="90"/>
    <col min="14851" max="14851" width="64.375" style="90" customWidth="1"/>
    <col min="14852" max="14852" width="8.125" style="90" customWidth="1"/>
    <col min="14853" max="14853" width="0" style="90" hidden="1" customWidth="1"/>
    <col min="14854" max="14854" width="4.875" style="90" customWidth="1"/>
    <col min="14855" max="15096" width="8.875" style="90"/>
    <col min="15097" max="15097" width="9" style="90" customWidth="1"/>
    <col min="15098" max="15098" width="15.625" style="90" customWidth="1"/>
    <col min="15099" max="15099" width="7.5" style="90" customWidth="1"/>
    <col min="15100" max="15100" width="7.625" style="90" customWidth="1"/>
    <col min="15101" max="15101" width="6.5" style="90" bestFit="1" customWidth="1"/>
    <col min="15102" max="15102" width="7.5" style="90" bestFit="1" customWidth="1"/>
    <col min="15103" max="15104" width="8.875" style="90"/>
    <col min="15105" max="15105" width="5.5" style="90" customWidth="1"/>
    <col min="15106" max="15106" width="8.875" style="90"/>
    <col min="15107" max="15107" width="64.375" style="90" customWidth="1"/>
    <col min="15108" max="15108" width="8.125" style="90" customWidth="1"/>
    <col min="15109" max="15109" width="0" style="90" hidden="1" customWidth="1"/>
    <col min="15110" max="15110" width="4.875" style="90" customWidth="1"/>
    <col min="15111" max="15352" width="8.875" style="90"/>
    <col min="15353" max="15353" width="9" style="90" customWidth="1"/>
    <col min="15354" max="15354" width="15.625" style="90" customWidth="1"/>
    <col min="15355" max="15355" width="7.5" style="90" customWidth="1"/>
    <col min="15356" max="15356" width="7.625" style="90" customWidth="1"/>
    <col min="15357" max="15357" width="6.5" style="90" bestFit="1" customWidth="1"/>
    <col min="15358" max="15358" width="7.5" style="90" bestFit="1" customWidth="1"/>
    <col min="15359" max="15360" width="8.875" style="90"/>
    <col min="15361" max="15361" width="5.5" style="90" customWidth="1"/>
    <col min="15362" max="15362" width="8.875" style="90"/>
    <col min="15363" max="15363" width="64.375" style="90" customWidth="1"/>
    <col min="15364" max="15364" width="8.125" style="90" customWidth="1"/>
    <col min="15365" max="15365" width="0" style="90" hidden="1" customWidth="1"/>
    <col min="15366" max="15366" width="4.875" style="90" customWidth="1"/>
    <col min="15367" max="15608" width="8.875" style="90"/>
    <col min="15609" max="15609" width="9" style="90" customWidth="1"/>
    <col min="15610" max="15610" width="15.625" style="90" customWidth="1"/>
    <col min="15611" max="15611" width="7.5" style="90" customWidth="1"/>
    <col min="15612" max="15612" width="7.625" style="90" customWidth="1"/>
    <col min="15613" max="15613" width="6.5" style="90" bestFit="1" customWidth="1"/>
    <col min="15614" max="15614" width="7.5" style="90" bestFit="1" customWidth="1"/>
    <col min="15615" max="15616" width="8.875" style="90"/>
    <col min="15617" max="15617" width="5.5" style="90" customWidth="1"/>
    <col min="15618" max="15618" width="8.875" style="90"/>
    <col min="15619" max="15619" width="64.375" style="90" customWidth="1"/>
    <col min="15620" max="15620" width="8.125" style="90" customWidth="1"/>
    <col min="15621" max="15621" width="0" style="90" hidden="1" customWidth="1"/>
    <col min="15622" max="15622" width="4.875" style="90" customWidth="1"/>
    <col min="15623" max="15864" width="8.875" style="90"/>
    <col min="15865" max="15865" width="9" style="90" customWidth="1"/>
    <col min="15866" max="15866" width="15.625" style="90" customWidth="1"/>
    <col min="15867" max="15867" width="7.5" style="90" customWidth="1"/>
    <col min="15868" max="15868" width="7.625" style="90" customWidth="1"/>
    <col min="15869" max="15869" width="6.5" style="90" bestFit="1" customWidth="1"/>
    <col min="15870" max="15870" width="7.5" style="90" bestFit="1" customWidth="1"/>
    <col min="15871" max="15872" width="8.875" style="90"/>
    <col min="15873" max="15873" width="5.5" style="90" customWidth="1"/>
    <col min="15874" max="15874" width="8.875" style="90"/>
    <col min="15875" max="15875" width="64.375" style="90" customWidth="1"/>
    <col min="15876" max="15876" width="8.125" style="90" customWidth="1"/>
    <col min="15877" max="15877" width="0" style="90" hidden="1" customWidth="1"/>
    <col min="15878" max="15878" width="4.875" style="90" customWidth="1"/>
    <col min="15879" max="16120" width="8.875" style="90"/>
    <col min="16121" max="16121" width="9" style="90" customWidth="1"/>
    <col min="16122" max="16122" width="15.625" style="90" customWidth="1"/>
    <col min="16123" max="16123" width="7.5" style="90" customWidth="1"/>
    <col min="16124" max="16124" width="7.625" style="90" customWidth="1"/>
    <col min="16125" max="16125" width="6.5" style="90" bestFit="1" customWidth="1"/>
    <col min="16126" max="16126" width="7.5" style="90" bestFit="1" customWidth="1"/>
    <col min="16127" max="16128" width="8.875" style="90"/>
    <col min="16129" max="16129" width="5.5" style="90" customWidth="1"/>
    <col min="16130" max="16130" width="8.875" style="90"/>
    <col min="16131" max="16131" width="64.375" style="90" customWidth="1"/>
    <col min="16132" max="16132" width="8.125" style="90" customWidth="1"/>
    <col min="16133" max="16133" width="0" style="90" hidden="1" customWidth="1"/>
    <col min="16134" max="16134" width="4.875" style="90" customWidth="1"/>
    <col min="16135" max="16384" width="8.875" style="90"/>
  </cols>
  <sheetData>
    <row r="1" spans="1:21">
      <c r="B1" s="192" t="s">
        <v>239</v>
      </c>
      <c r="C1" s="193" t="s">
        <v>69</v>
      </c>
      <c r="D1" s="193"/>
      <c r="E1" s="193"/>
      <c r="F1" s="193"/>
      <c r="G1" s="193"/>
      <c r="H1" s="193"/>
      <c r="I1" s="193"/>
      <c r="J1" s="193"/>
      <c r="K1" s="193"/>
      <c r="L1" s="193"/>
      <c r="M1" s="193"/>
      <c r="N1" s="134"/>
      <c r="O1" s="134"/>
      <c r="P1" s="134"/>
      <c r="Q1" s="134"/>
      <c r="R1" s="127"/>
      <c r="S1" s="194" t="s">
        <v>76</v>
      </c>
      <c r="T1" s="194"/>
      <c r="U1" s="194"/>
    </row>
    <row r="2" spans="1:21">
      <c r="B2" s="192"/>
      <c r="C2" s="135">
        <v>2024</v>
      </c>
      <c r="D2" s="135">
        <f t="shared" ref="D2:Q2" si="0">C2+1</f>
        <v>2025</v>
      </c>
      <c r="E2" s="135">
        <f t="shared" si="0"/>
        <v>2026</v>
      </c>
      <c r="F2" s="135">
        <f t="shared" si="0"/>
        <v>2027</v>
      </c>
      <c r="G2" s="135">
        <f t="shared" si="0"/>
        <v>2028</v>
      </c>
      <c r="H2" s="135">
        <f t="shared" si="0"/>
        <v>2029</v>
      </c>
      <c r="I2" s="135">
        <f t="shared" si="0"/>
        <v>2030</v>
      </c>
      <c r="J2" s="135">
        <f t="shared" si="0"/>
        <v>2031</v>
      </c>
      <c r="K2" s="135">
        <f t="shared" si="0"/>
        <v>2032</v>
      </c>
      <c r="L2" s="135">
        <f t="shared" si="0"/>
        <v>2033</v>
      </c>
      <c r="M2" s="135">
        <f t="shared" si="0"/>
        <v>2034</v>
      </c>
      <c r="N2" s="135">
        <f t="shared" si="0"/>
        <v>2035</v>
      </c>
      <c r="O2" s="135">
        <f t="shared" si="0"/>
        <v>2036</v>
      </c>
      <c r="P2" s="135">
        <f t="shared" si="0"/>
        <v>2037</v>
      </c>
      <c r="Q2" s="135">
        <f t="shared" si="0"/>
        <v>2038</v>
      </c>
      <c r="R2" s="127"/>
      <c r="S2" s="127"/>
      <c r="T2" s="127"/>
      <c r="U2" s="127"/>
    </row>
    <row r="3" spans="1:21" ht="20.25" customHeight="1">
      <c r="B3" s="136" t="s">
        <v>288</v>
      </c>
      <c r="C3" s="173">
        <f>PE_materials!D10</f>
        <v>1360.59</v>
      </c>
      <c r="D3" s="173">
        <f>PE_materials!E10</f>
        <v>1405.25</v>
      </c>
      <c r="E3" s="173">
        <f>PE_materials!F10</f>
        <v>1686.3</v>
      </c>
      <c r="F3" s="173">
        <f>PE_materials!G10</f>
        <v>1686.3</v>
      </c>
      <c r="G3" s="173">
        <f>PE_materials!H10</f>
        <v>1686.3</v>
      </c>
      <c r="H3" s="173">
        <f>PE_materials!I10</f>
        <v>1686.3</v>
      </c>
      <c r="I3" s="173">
        <f>PE_materials!J10</f>
        <v>1686.3</v>
      </c>
      <c r="J3" s="173">
        <f>PE_materials!K10</f>
        <v>1686.3</v>
      </c>
      <c r="K3" s="173">
        <f>PE_materials!L10</f>
        <v>1686.3</v>
      </c>
      <c r="L3" s="173">
        <f>PE_materials!M10</f>
        <v>1686.3</v>
      </c>
      <c r="M3" s="173">
        <f>PE_materials!N10</f>
        <v>1686.3</v>
      </c>
      <c r="N3" s="173">
        <f>PE_materials!O10</f>
        <v>1686.3</v>
      </c>
      <c r="O3" s="173">
        <f>PE_materials!P10</f>
        <v>1686.3</v>
      </c>
      <c r="P3" s="173">
        <f>PE_materials!Q10</f>
        <v>1686.3</v>
      </c>
      <c r="Q3" s="173">
        <f>PE_materials!R10</f>
        <v>1686.3</v>
      </c>
      <c r="R3" s="127"/>
      <c r="S3" s="145" t="s">
        <v>87</v>
      </c>
      <c r="T3" s="145" t="s">
        <v>88</v>
      </c>
      <c r="U3" s="187">
        <f>LN(2)/U4</f>
        <v>0.23104906018664842</v>
      </c>
    </row>
    <row r="4" spans="1:21" ht="21.75" customHeight="1">
      <c r="A4"/>
      <c r="B4" s="158" t="s">
        <v>289</v>
      </c>
      <c r="C4" s="174">
        <f>C3*$U$7</f>
        <v>680.29499999999996</v>
      </c>
      <c r="D4" s="174">
        <f t="shared" ref="D4:Q4" si="1">D3*$U$7</f>
        <v>702.625</v>
      </c>
      <c r="E4" s="174">
        <f t="shared" si="1"/>
        <v>843.15</v>
      </c>
      <c r="F4" s="174">
        <f t="shared" si="1"/>
        <v>843.15</v>
      </c>
      <c r="G4" s="174">
        <f t="shared" si="1"/>
        <v>843.15</v>
      </c>
      <c r="H4" s="174">
        <f t="shared" si="1"/>
        <v>843.15</v>
      </c>
      <c r="I4" s="174">
        <f t="shared" si="1"/>
        <v>843.15</v>
      </c>
      <c r="J4" s="174">
        <f t="shared" si="1"/>
        <v>843.15</v>
      </c>
      <c r="K4" s="174">
        <f t="shared" si="1"/>
        <v>843.15</v>
      </c>
      <c r="L4" s="174">
        <f t="shared" si="1"/>
        <v>843.15</v>
      </c>
      <c r="M4" s="174">
        <f t="shared" si="1"/>
        <v>843.15</v>
      </c>
      <c r="N4" s="174">
        <f t="shared" si="1"/>
        <v>843.15</v>
      </c>
      <c r="O4" s="174">
        <f t="shared" si="1"/>
        <v>843.15</v>
      </c>
      <c r="P4" s="174">
        <f t="shared" si="1"/>
        <v>843.15</v>
      </c>
      <c r="Q4" s="174">
        <f t="shared" si="1"/>
        <v>843.15</v>
      </c>
      <c r="R4" s="127"/>
      <c r="S4" s="141" t="s">
        <v>241</v>
      </c>
      <c r="T4" s="145" t="s">
        <v>242</v>
      </c>
      <c r="U4" s="159">
        <v>3</v>
      </c>
    </row>
    <row r="5" spans="1:21" ht="33.75" customHeight="1">
      <c r="A5"/>
      <c r="B5" s="160" t="s">
        <v>316</v>
      </c>
      <c r="C5" s="173">
        <f>$U$5*0+C4*$U$6</f>
        <v>607.42294542238039</v>
      </c>
      <c r="D5" s="173">
        <f>$U$5*C5+D4*$U$6</f>
        <v>1109.4729047094036</v>
      </c>
      <c r="E5" s="173">
        <f t="shared" ref="E5:Q5" si="2">$U$5*D5+E4*$U$6</f>
        <v>1633.4224201523793</v>
      </c>
      <c r="F5" s="173">
        <f t="shared" si="2"/>
        <v>2049.2814261485837</v>
      </c>
      <c r="G5" s="173">
        <f t="shared" si="2"/>
        <v>2379.3489379429957</v>
      </c>
      <c r="H5" s="173">
        <f t="shared" si="2"/>
        <v>2641.3236956644837</v>
      </c>
      <c r="I5" s="173">
        <f t="shared" si="2"/>
        <v>2849.2531986625859</v>
      </c>
      <c r="J5" s="173">
        <f t="shared" si="2"/>
        <v>3014.2869545597923</v>
      </c>
      <c r="K5" s="173">
        <f t="shared" si="2"/>
        <v>3145.2743334205365</v>
      </c>
      <c r="L5" s="173">
        <f t="shared" si="2"/>
        <v>3249.2390849195876</v>
      </c>
      <c r="M5" s="173">
        <f t="shared" si="2"/>
        <v>3331.7559628681906</v>
      </c>
      <c r="N5" s="173">
        <f t="shared" si="2"/>
        <v>3397.2496522985625</v>
      </c>
      <c r="O5" s="173">
        <f t="shared" si="2"/>
        <v>3449.2320280480881</v>
      </c>
      <c r="P5" s="173">
        <f t="shared" si="2"/>
        <v>3490.4904670223896</v>
      </c>
      <c r="Q5" s="173">
        <f t="shared" si="2"/>
        <v>3523.2373117375755</v>
      </c>
      <c r="R5" s="127"/>
      <c r="S5" s="196" t="s">
        <v>91</v>
      </c>
      <c r="T5" s="161" t="s">
        <v>92</v>
      </c>
      <c r="U5" s="162">
        <f>EXP(-U3)</f>
        <v>0.79370052598409979</v>
      </c>
    </row>
    <row r="6" spans="1:21" ht="31.5">
      <c r="A6"/>
      <c r="B6" s="143" t="s">
        <v>293</v>
      </c>
      <c r="C6" s="175">
        <f t="shared" ref="C6:Q6" si="3">C5*-44/12</f>
        <v>-2227.2174665487282</v>
      </c>
      <c r="D6" s="175">
        <f t="shared" si="3"/>
        <v>-4068.067317267813</v>
      </c>
      <c r="E6" s="175">
        <f t="shared" si="3"/>
        <v>-5989.2155405587246</v>
      </c>
      <c r="F6" s="175">
        <f t="shared" si="3"/>
        <v>-7514.0318958781399</v>
      </c>
      <c r="G6" s="175">
        <f t="shared" si="3"/>
        <v>-8724.2794391243169</v>
      </c>
      <c r="H6" s="175">
        <f t="shared" si="3"/>
        <v>-9684.8535507697725</v>
      </c>
      <c r="I6" s="175">
        <f t="shared" si="3"/>
        <v>-10447.261728429481</v>
      </c>
      <c r="J6" s="175">
        <f t="shared" si="3"/>
        <v>-11052.385500052573</v>
      </c>
      <c r="K6" s="175">
        <f t="shared" si="3"/>
        <v>-11532.672555875301</v>
      </c>
      <c r="L6" s="175">
        <f t="shared" si="3"/>
        <v>-11913.876644705155</v>
      </c>
      <c r="M6" s="175">
        <f t="shared" si="3"/>
        <v>-12216.4385305167</v>
      </c>
      <c r="N6" s="175">
        <f t="shared" si="3"/>
        <v>-12456.582058428061</v>
      </c>
      <c r="O6" s="175">
        <f t="shared" si="3"/>
        <v>-12647.18410284299</v>
      </c>
      <c r="P6" s="175">
        <f t="shared" si="3"/>
        <v>-12798.465045748761</v>
      </c>
      <c r="Q6" s="175">
        <f t="shared" si="3"/>
        <v>-12918.536809704443</v>
      </c>
      <c r="R6" s="127"/>
      <c r="S6" s="196"/>
      <c r="T6" s="161" t="s">
        <v>93</v>
      </c>
      <c r="U6" s="162">
        <f>(1-U5)/U3</f>
        <v>0.89288168430222248</v>
      </c>
    </row>
    <row r="7" spans="1:21" ht="15.75">
      <c r="C7" s="114"/>
      <c r="D7" s="114"/>
      <c r="E7" s="114"/>
      <c r="F7" s="114"/>
      <c r="G7" s="114"/>
      <c r="H7" s="114"/>
      <c r="I7" s="114"/>
      <c r="J7" s="114"/>
      <c r="K7" s="114"/>
      <c r="L7" s="114"/>
      <c r="M7" s="114"/>
      <c r="N7" s="114"/>
      <c r="O7" s="114"/>
      <c r="P7" s="114"/>
      <c r="Q7" s="114"/>
      <c r="R7" s="186" t="s">
        <v>138</v>
      </c>
      <c r="S7" s="163" t="s">
        <v>238</v>
      </c>
      <c r="T7" s="163" t="s">
        <v>305</v>
      </c>
      <c r="U7" s="164">
        <v>0.5</v>
      </c>
    </row>
    <row r="8" spans="1:21" ht="15.75" thickBot="1">
      <c r="D8" s="114"/>
    </row>
    <row r="9" spans="1:21" ht="15.75" thickBot="1">
      <c r="B9" s="171" t="s">
        <v>240</v>
      </c>
      <c r="C9" s="170">
        <f>Q6</f>
        <v>-12918.536809704443</v>
      </c>
      <c r="D9" s="169"/>
      <c r="E9" s="169"/>
      <c r="G9" s="114"/>
      <c r="H9" s="114"/>
      <c r="I9" s="114"/>
      <c r="J9" s="114"/>
      <c r="K9" s="114"/>
      <c r="L9" s="114"/>
      <c r="M9" s="114"/>
      <c r="N9" s="114"/>
      <c r="O9" s="114"/>
      <c r="P9" s="114"/>
      <c r="Q9" s="114"/>
    </row>
    <row r="10" spans="1:21" ht="29.25" customHeight="1">
      <c r="C10" s="114"/>
      <c r="D10" s="114"/>
      <c r="E10" s="114"/>
      <c r="F10" s="114"/>
      <c r="G10" s="114"/>
      <c r="H10" s="114"/>
      <c r="I10" s="114"/>
      <c r="J10" s="114"/>
      <c r="K10" s="114"/>
      <c r="L10" s="114"/>
      <c r="R10" s="149"/>
    </row>
    <row r="11" spans="1:21" ht="30" customHeight="1">
      <c r="D11" s="114"/>
      <c r="E11" s="114"/>
      <c r="F11" s="114"/>
      <c r="G11" s="114"/>
      <c r="H11" s="114"/>
      <c r="I11" s="114"/>
      <c r="J11" s="114"/>
      <c r="K11" s="114"/>
      <c r="L11" s="114"/>
      <c r="M11" s="114"/>
      <c r="N11" s="114"/>
      <c r="O11" s="114"/>
      <c r="P11" s="114"/>
      <c r="Q11" s="114"/>
    </row>
    <row r="12" spans="1:21">
      <c r="C12" s="114"/>
      <c r="D12" s="114"/>
    </row>
    <row r="13" spans="1:21" ht="18" customHeight="1">
      <c r="B13" s="165"/>
      <c r="S13" s="166"/>
    </row>
    <row r="14" spans="1:21">
      <c r="Q14" s="114"/>
    </row>
    <row r="16" spans="1:21">
      <c r="M16" s="195"/>
      <c r="N16" s="195"/>
      <c r="O16" s="195"/>
      <c r="P16" s="195"/>
      <c r="Q16" s="148"/>
    </row>
    <row r="19" spans="17:18">
      <c r="R19" s="167"/>
    </row>
    <row r="20" spans="17:18">
      <c r="R20" s="167"/>
    </row>
    <row r="21" spans="17:18">
      <c r="R21" s="167"/>
    </row>
    <row r="22" spans="17:18">
      <c r="Q22" s="167"/>
      <c r="R22" s="167"/>
    </row>
    <row r="23" spans="17:18">
      <c r="Q23" s="167"/>
      <c r="R23" s="167"/>
    </row>
    <row r="24" spans="17:18">
      <c r="Q24" s="167"/>
      <c r="R24" s="167"/>
    </row>
    <row r="25" spans="17:18">
      <c r="Q25" s="167"/>
      <c r="R25" s="167"/>
    </row>
    <row r="26" spans="17:18">
      <c r="Q26" s="168"/>
    </row>
    <row r="27" spans="17:18">
      <c r="Q27" s="167"/>
    </row>
    <row r="28" spans="17:18">
      <c r="Q28" s="167"/>
    </row>
  </sheetData>
  <mergeCells count="5">
    <mergeCell ref="B1:B2"/>
    <mergeCell ref="C1:M1"/>
    <mergeCell ref="S1:U1"/>
    <mergeCell ref="M16:P16"/>
    <mergeCell ref="S5:S6"/>
  </mergeCells>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C18ECF-CE7E-4CB9-972F-F3D0B40FE9DF}">
  <sheetPr>
    <tabColor theme="9" tint="0.39997558519241921"/>
  </sheetPr>
  <dimension ref="A1:U18"/>
  <sheetViews>
    <sheetView zoomScale="80" zoomScaleNormal="80" workbookViewId="0">
      <selection activeCell="B5" sqref="B5"/>
    </sheetView>
  </sheetViews>
  <sheetFormatPr defaultColWidth="8.875" defaultRowHeight="15"/>
  <cols>
    <col min="1" max="1" width="31.25" style="90" customWidth="1"/>
    <col min="2" max="2" width="47.625" style="90" customWidth="1"/>
    <col min="3" max="16" width="8.875" style="90"/>
    <col min="17" max="17" width="13.125" style="90" bestFit="1" customWidth="1"/>
    <col min="18" max="18" width="8.875" style="90"/>
    <col min="19" max="19" width="37.25" style="90" customWidth="1"/>
    <col min="20" max="20" width="43.25" style="90" customWidth="1"/>
    <col min="21" max="21" width="12.375" style="90" customWidth="1"/>
    <col min="22" max="39" width="8.875" style="90"/>
    <col min="40" max="40" width="15.5" style="90" customWidth="1"/>
    <col min="41" max="41" width="54" style="90" customWidth="1"/>
    <col min="42" max="248" width="8.875" style="90"/>
    <col min="249" max="249" width="9" style="90" customWidth="1"/>
    <col min="250" max="250" width="15.625" style="90" customWidth="1"/>
    <col min="251" max="251" width="7.5" style="90" customWidth="1"/>
    <col min="252" max="252" width="7.625" style="90" customWidth="1"/>
    <col min="253" max="253" width="6.5" style="90" bestFit="1" customWidth="1"/>
    <col min="254" max="254" width="7.5" style="90" bestFit="1" customWidth="1"/>
    <col min="255" max="256" width="8.875" style="90"/>
    <col min="257" max="257" width="5.5" style="90" customWidth="1"/>
    <col min="258" max="258" width="8.875" style="90"/>
    <col min="259" max="259" width="64.375" style="90" customWidth="1"/>
    <col min="260" max="260" width="8.125" style="90" customWidth="1"/>
    <col min="261" max="261" width="0" style="90" hidden="1" customWidth="1"/>
    <col min="262" max="262" width="4.875" style="90" customWidth="1"/>
    <col min="263" max="504" width="8.875" style="90"/>
    <col min="505" max="505" width="9" style="90" customWidth="1"/>
    <col min="506" max="506" width="15.625" style="90" customWidth="1"/>
    <col min="507" max="507" width="7.5" style="90" customWidth="1"/>
    <col min="508" max="508" width="7.625" style="90" customWidth="1"/>
    <col min="509" max="509" width="6.5" style="90" bestFit="1" customWidth="1"/>
    <col min="510" max="510" width="7.5" style="90" bestFit="1" customWidth="1"/>
    <col min="511" max="512" width="8.875" style="90"/>
    <col min="513" max="513" width="5.5" style="90" customWidth="1"/>
    <col min="514" max="514" width="8.875" style="90"/>
    <col min="515" max="515" width="64.375" style="90" customWidth="1"/>
    <col min="516" max="516" width="8.125" style="90" customWidth="1"/>
    <col min="517" max="517" width="0" style="90" hidden="1" customWidth="1"/>
    <col min="518" max="518" width="4.875" style="90" customWidth="1"/>
    <col min="519" max="760" width="8.875" style="90"/>
    <col min="761" max="761" width="9" style="90" customWidth="1"/>
    <col min="762" max="762" width="15.625" style="90" customWidth="1"/>
    <col min="763" max="763" width="7.5" style="90" customWidth="1"/>
    <col min="764" max="764" width="7.625" style="90" customWidth="1"/>
    <col min="765" max="765" width="6.5" style="90" bestFit="1" customWidth="1"/>
    <col min="766" max="766" width="7.5" style="90" bestFit="1" customWidth="1"/>
    <col min="767" max="768" width="8.875" style="90"/>
    <col min="769" max="769" width="5.5" style="90" customWidth="1"/>
    <col min="770" max="770" width="8.875" style="90"/>
    <col min="771" max="771" width="64.375" style="90" customWidth="1"/>
    <col min="772" max="772" width="8.125" style="90" customWidth="1"/>
    <col min="773" max="773" width="0" style="90" hidden="1" customWidth="1"/>
    <col min="774" max="774" width="4.875" style="90" customWidth="1"/>
    <col min="775" max="1016" width="8.875" style="90"/>
    <col min="1017" max="1017" width="9" style="90" customWidth="1"/>
    <col min="1018" max="1018" width="15.625" style="90" customWidth="1"/>
    <col min="1019" max="1019" width="7.5" style="90" customWidth="1"/>
    <col min="1020" max="1020" width="7.625" style="90" customWidth="1"/>
    <col min="1021" max="1021" width="6.5" style="90" bestFit="1" customWidth="1"/>
    <col min="1022" max="1022" width="7.5" style="90" bestFit="1" customWidth="1"/>
    <col min="1023" max="1024" width="8.875" style="90"/>
    <col min="1025" max="1025" width="5.5" style="90" customWidth="1"/>
    <col min="1026" max="1026" width="8.875" style="90"/>
    <col min="1027" max="1027" width="64.375" style="90" customWidth="1"/>
    <col min="1028" max="1028" width="8.125" style="90" customWidth="1"/>
    <col min="1029" max="1029" width="0" style="90" hidden="1" customWidth="1"/>
    <col min="1030" max="1030" width="4.875" style="90" customWidth="1"/>
    <col min="1031" max="1272" width="8.875" style="90"/>
    <col min="1273" max="1273" width="9" style="90" customWidth="1"/>
    <col min="1274" max="1274" width="15.625" style="90" customWidth="1"/>
    <col min="1275" max="1275" width="7.5" style="90" customWidth="1"/>
    <col min="1276" max="1276" width="7.625" style="90" customWidth="1"/>
    <col min="1277" max="1277" width="6.5" style="90" bestFit="1" customWidth="1"/>
    <col min="1278" max="1278" width="7.5" style="90" bestFit="1" customWidth="1"/>
    <col min="1279" max="1280" width="8.875" style="90"/>
    <col min="1281" max="1281" width="5.5" style="90" customWidth="1"/>
    <col min="1282" max="1282" width="8.875" style="90"/>
    <col min="1283" max="1283" width="64.375" style="90" customWidth="1"/>
    <col min="1284" max="1284" width="8.125" style="90" customWidth="1"/>
    <col min="1285" max="1285" width="0" style="90" hidden="1" customWidth="1"/>
    <col min="1286" max="1286" width="4.875" style="90" customWidth="1"/>
    <col min="1287" max="1528" width="8.875" style="90"/>
    <col min="1529" max="1529" width="9" style="90" customWidth="1"/>
    <col min="1530" max="1530" width="15.625" style="90" customWidth="1"/>
    <col min="1531" max="1531" width="7.5" style="90" customWidth="1"/>
    <col min="1532" max="1532" width="7.625" style="90" customWidth="1"/>
    <col min="1533" max="1533" width="6.5" style="90" bestFit="1" customWidth="1"/>
    <col min="1534" max="1534" width="7.5" style="90" bestFit="1" customWidth="1"/>
    <col min="1535" max="1536" width="8.875" style="90"/>
    <col min="1537" max="1537" width="5.5" style="90" customWidth="1"/>
    <col min="1538" max="1538" width="8.875" style="90"/>
    <col min="1539" max="1539" width="64.375" style="90" customWidth="1"/>
    <col min="1540" max="1540" width="8.125" style="90" customWidth="1"/>
    <col min="1541" max="1541" width="0" style="90" hidden="1" customWidth="1"/>
    <col min="1542" max="1542" width="4.875" style="90" customWidth="1"/>
    <col min="1543" max="1784" width="8.875" style="90"/>
    <col min="1785" max="1785" width="9" style="90" customWidth="1"/>
    <col min="1786" max="1786" width="15.625" style="90" customWidth="1"/>
    <col min="1787" max="1787" width="7.5" style="90" customWidth="1"/>
    <col min="1788" max="1788" width="7.625" style="90" customWidth="1"/>
    <col min="1789" max="1789" width="6.5" style="90" bestFit="1" customWidth="1"/>
    <col min="1790" max="1790" width="7.5" style="90" bestFit="1" customWidth="1"/>
    <col min="1791" max="1792" width="8.875" style="90"/>
    <col min="1793" max="1793" width="5.5" style="90" customWidth="1"/>
    <col min="1794" max="1794" width="8.875" style="90"/>
    <col min="1795" max="1795" width="64.375" style="90" customWidth="1"/>
    <col min="1796" max="1796" width="8.125" style="90" customWidth="1"/>
    <col min="1797" max="1797" width="0" style="90" hidden="1" customWidth="1"/>
    <col min="1798" max="1798" width="4.875" style="90" customWidth="1"/>
    <col min="1799" max="2040" width="8.875" style="90"/>
    <col min="2041" max="2041" width="9" style="90" customWidth="1"/>
    <col min="2042" max="2042" width="15.625" style="90" customWidth="1"/>
    <col min="2043" max="2043" width="7.5" style="90" customWidth="1"/>
    <col min="2044" max="2044" width="7.625" style="90" customWidth="1"/>
    <col min="2045" max="2045" width="6.5" style="90" bestFit="1" customWidth="1"/>
    <col min="2046" max="2046" width="7.5" style="90" bestFit="1" customWidth="1"/>
    <col min="2047" max="2048" width="8.875" style="90"/>
    <col min="2049" max="2049" width="5.5" style="90" customWidth="1"/>
    <col min="2050" max="2050" width="8.875" style="90"/>
    <col min="2051" max="2051" width="64.375" style="90" customWidth="1"/>
    <col min="2052" max="2052" width="8.125" style="90" customWidth="1"/>
    <col min="2053" max="2053" width="0" style="90" hidden="1" customWidth="1"/>
    <col min="2054" max="2054" width="4.875" style="90" customWidth="1"/>
    <col min="2055" max="2296" width="8.875" style="90"/>
    <col min="2297" max="2297" width="9" style="90" customWidth="1"/>
    <col min="2298" max="2298" width="15.625" style="90" customWidth="1"/>
    <col min="2299" max="2299" width="7.5" style="90" customWidth="1"/>
    <col min="2300" max="2300" width="7.625" style="90" customWidth="1"/>
    <col min="2301" max="2301" width="6.5" style="90" bestFit="1" customWidth="1"/>
    <col min="2302" max="2302" width="7.5" style="90" bestFit="1" customWidth="1"/>
    <col min="2303" max="2304" width="8.875" style="90"/>
    <col min="2305" max="2305" width="5.5" style="90" customWidth="1"/>
    <col min="2306" max="2306" width="8.875" style="90"/>
    <col min="2307" max="2307" width="64.375" style="90" customWidth="1"/>
    <col min="2308" max="2308" width="8.125" style="90" customWidth="1"/>
    <col min="2309" max="2309" width="0" style="90" hidden="1" customWidth="1"/>
    <col min="2310" max="2310" width="4.875" style="90" customWidth="1"/>
    <col min="2311" max="2552" width="8.875" style="90"/>
    <col min="2553" max="2553" width="9" style="90" customWidth="1"/>
    <col min="2554" max="2554" width="15.625" style="90" customWidth="1"/>
    <col min="2555" max="2555" width="7.5" style="90" customWidth="1"/>
    <col min="2556" max="2556" width="7.625" style="90" customWidth="1"/>
    <col min="2557" max="2557" width="6.5" style="90" bestFit="1" customWidth="1"/>
    <col min="2558" max="2558" width="7.5" style="90" bestFit="1" customWidth="1"/>
    <col min="2559" max="2560" width="8.875" style="90"/>
    <col min="2561" max="2561" width="5.5" style="90" customWidth="1"/>
    <col min="2562" max="2562" width="8.875" style="90"/>
    <col min="2563" max="2563" width="64.375" style="90" customWidth="1"/>
    <col min="2564" max="2564" width="8.125" style="90" customWidth="1"/>
    <col min="2565" max="2565" width="0" style="90" hidden="1" customWidth="1"/>
    <col min="2566" max="2566" width="4.875" style="90" customWidth="1"/>
    <col min="2567" max="2808" width="8.875" style="90"/>
    <col min="2809" max="2809" width="9" style="90" customWidth="1"/>
    <col min="2810" max="2810" width="15.625" style="90" customWidth="1"/>
    <col min="2811" max="2811" width="7.5" style="90" customWidth="1"/>
    <col min="2812" max="2812" width="7.625" style="90" customWidth="1"/>
    <col min="2813" max="2813" width="6.5" style="90" bestFit="1" customWidth="1"/>
    <col min="2814" max="2814" width="7.5" style="90" bestFit="1" customWidth="1"/>
    <col min="2815" max="2816" width="8.875" style="90"/>
    <col min="2817" max="2817" width="5.5" style="90" customWidth="1"/>
    <col min="2818" max="2818" width="8.875" style="90"/>
    <col min="2819" max="2819" width="64.375" style="90" customWidth="1"/>
    <col min="2820" max="2820" width="8.125" style="90" customWidth="1"/>
    <col min="2821" max="2821" width="0" style="90" hidden="1" customWidth="1"/>
    <col min="2822" max="2822" width="4.875" style="90" customWidth="1"/>
    <col min="2823" max="3064" width="8.875" style="90"/>
    <col min="3065" max="3065" width="9" style="90" customWidth="1"/>
    <col min="3066" max="3066" width="15.625" style="90" customWidth="1"/>
    <col min="3067" max="3067" width="7.5" style="90" customWidth="1"/>
    <col min="3068" max="3068" width="7.625" style="90" customWidth="1"/>
    <col min="3069" max="3069" width="6.5" style="90" bestFit="1" customWidth="1"/>
    <col min="3070" max="3070" width="7.5" style="90" bestFit="1" customWidth="1"/>
    <col min="3071" max="3072" width="8.875" style="90"/>
    <col min="3073" max="3073" width="5.5" style="90" customWidth="1"/>
    <col min="3074" max="3074" width="8.875" style="90"/>
    <col min="3075" max="3075" width="64.375" style="90" customWidth="1"/>
    <col min="3076" max="3076" width="8.125" style="90" customWidth="1"/>
    <col min="3077" max="3077" width="0" style="90" hidden="1" customWidth="1"/>
    <col min="3078" max="3078" width="4.875" style="90" customWidth="1"/>
    <col min="3079" max="3320" width="8.875" style="90"/>
    <col min="3321" max="3321" width="9" style="90" customWidth="1"/>
    <col min="3322" max="3322" width="15.625" style="90" customWidth="1"/>
    <col min="3323" max="3323" width="7.5" style="90" customWidth="1"/>
    <col min="3324" max="3324" width="7.625" style="90" customWidth="1"/>
    <col min="3325" max="3325" width="6.5" style="90" bestFit="1" customWidth="1"/>
    <col min="3326" max="3326" width="7.5" style="90" bestFit="1" customWidth="1"/>
    <col min="3327" max="3328" width="8.875" style="90"/>
    <col min="3329" max="3329" width="5.5" style="90" customWidth="1"/>
    <col min="3330" max="3330" width="8.875" style="90"/>
    <col min="3331" max="3331" width="64.375" style="90" customWidth="1"/>
    <col min="3332" max="3332" width="8.125" style="90" customWidth="1"/>
    <col min="3333" max="3333" width="0" style="90" hidden="1" customWidth="1"/>
    <col min="3334" max="3334" width="4.875" style="90" customWidth="1"/>
    <col min="3335" max="3576" width="8.875" style="90"/>
    <col min="3577" max="3577" width="9" style="90" customWidth="1"/>
    <col min="3578" max="3578" width="15.625" style="90" customWidth="1"/>
    <col min="3579" max="3579" width="7.5" style="90" customWidth="1"/>
    <col min="3580" max="3580" width="7.625" style="90" customWidth="1"/>
    <col min="3581" max="3581" width="6.5" style="90" bestFit="1" customWidth="1"/>
    <col min="3582" max="3582" width="7.5" style="90" bestFit="1" customWidth="1"/>
    <col min="3583" max="3584" width="8.875" style="90"/>
    <col min="3585" max="3585" width="5.5" style="90" customWidth="1"/>
    <col min="3586" max="3586" width="8.875" style="90"/>
    <col min="3587" max="3587" width="64.375" style="90" customWidth="1"/>
    <col min="3588" max="3588" width="8.125" style="90" customWidth="1"/>
    <col min="3589" max="3589" width="0" style="90" hidden="1" customWidth="1"/>
    <col min="3590" max="3590" width="4.875" style="90" customWidth="1"/>
    <col min="3591" max="3832" width="8.875" style="90"/>
    <col min="3833" max="3833" width="9" style="90" customWidth="1"/>
    <col min="3834" max="3834" width="15.625" style="90" customWidth="1"/>
    <col min="3835" max="3835" width="7.5" style="90" customWidth="1"/>
    <col min="3836" max="3836" width="7.625" style="90" customWidth="1"/>
    <col min="3837" max="3837" width="6.5" style="90" bestFit="1" customWidth="1"/>
    <col min="3838" max="3838" width="7.5" style="90" bestFit="1" customWidth="1"/>
    <col min="3839" max="3840" width="8.875" style="90"/>
    <col min="3841" max="3841" width="5.5" style="90" customWidth="1"/>
    <col min="3842" max="3842" width="8.875" style="90"/>
    <col min="3843" max="3843" width="64.375" style="90" customWidth="1"/>
    <col min="3844" max="3844" width="8.125" style="90" customWidth="1"/>
    <col min="3845" max="3845" width="0" style="90" hidden="1" customWidth="1"/>
    <col min="3846" max="3846" width="4.875" style="90" customWidth="1"/>
    <col min="3847" max="4088" width="8.875" style="90"/>
    <col min="4089" max="4089" width="9" style="90" customWidth="1"/>
    <col min="4090" max="4090" width="15.625" style="90" customWidth="1"/>
    <col min="4091" max="4091" width="7.5" style="90" customWidth="1"/>
    <col min="4092" max="4092" width="7.625" style="90" customWidth="1"/>
    <col min="4093" max="4093" width="6.5" style="90" bestFit="1" customWidth="1"/>
    <col min="4094" max="4094" width="7.5" style="90" bestFit="1" customWidth="1"/>
    <col min="4095" max="4096" width="8.875" style="90"/>
    <col min="4097" max="4097" width="5.5" style="90" customWidth="1"/>
    <col min="4098" max="4098" width="8.875" style="90"/>
    <col min="4099" max="4099" width="64.375" style="90" customWidth="1"/>
    <col min="4100" max="4100" width="8.125" style="90" customWidth="1"/>
    <col min="4101" max="4101" width="0" style="90" hidden="1" customWidth="1"/>
    <col min="4102" max="4102" width="4.875" style="90" customWidth="1"/>
    <col min="4103" max="4344" width="8.875" style="90"/>
    <col min="4345" max="4345" width="9" style="90" customWidth="1"/>
    <col min="4346" max="4346" width="15.625" style="90" customWidth="1"/>
    <col min="4347" max="4347" width="7.5" style="90" customWidth="1"/>
    <col min="4348" max="4348" width="7.625" style="90" customWidth="1"/>
    <col min="4349" max="4349" width="6.5" style="90" bestFit="1" customWidth="1"/>
    <col min="4350" max="4350" width="7.5" style="90" bestFit="1" customWidth="1"/>
    <col min="4351" max="4352" width="8.875" style="90"/>
    <col min="4353" max="4353" width="5.5" style="90" customWidth="1"/>
    <col min="4354" max="4354" width="8.875" style="90"/>
    <col min="4355" max="4355" width="64.375" style="90" customWidth="1"/>
    <col min="4356" max="4356" width="8.125" style="90" customWidth="1"/>
    <col min="4357" max="4357" width="0" style="90" hidden="1" customWidth="1"/>
    <col min="4358" max="4358" width="4.875" style="90" customWidth="1"/>
    <col min="4359" max="4600" width="8.875" style="90"/>
    <col min="4601" max="4601" width="9" style="90" customWidth="1"/>
    <col min="4602" max="4602" width="15.625" style="90" customWidth="1"/>
    <col min="4603" max="4603" width="7.5" style="90" customWidth="1"/>
    <col min="4604" max="4604" width="7.625" style="90" customWidth="1"/>
    <col min="4605" max="4605" width="6.5" style="90" bestFit="1" customWidth="1"/>
    <col min="4606" max="4606" width="7.5" style="90" bestFit="1" customWidth="1"/>
    <col min="4607" max="4608" width="8.875" style="90"/>
    <col min="4609" max="4609" width="5.5" style="90" customWidth="1"/>
    <col min="4610" max="4610" width="8.875" style="90"/>
    <col min="4611" max="4611" width="64.375" style="90" customWidth="1"/>
    <col min="4612" max="4612" width="8.125" style="90" customWidth="1"/>
    <col min="4613" max="4613" width="0" style="90" hidden="1" customWidth="1"/>
    <col min="4614" max="4614" width="4.875" style="90" customWidth="1"/>
    <col min="4615" max="4856" width="8.875" style="90"/>
    <col min="4857" max="4857" width="9" style="90" customWidth="1"/>
    <col min="4858" max="4858" width="15.625" style="90" customWidth="1"/>
    <col min="4859" max="4859" width="7.5" style="90" customWidth="1"/>
    <col min="4860" max="4860" width="7.625" style="90" customWidth="1"/>
    <col min="4861" max="4861" width="6.5" style="90" bestFit="1" customWidth="1"/>
    <col min="4862" max="4862" width="7.5" style="90" bestFit="1" customWidth="1"/>
    <col min="4863" max="4864" width="8.875" style="90"/>
    <col min="4865" max="4865" width="5.5" style="90" customWidth="1"/>
    <col min="4866" max="4866" width="8.875" style="90"/>
    <col min="4867" max="4867" width="64.375" style="90" customWidth="1"/>
    <col min="4868" max="4868" width="8.125" style="90" customWidth="1"/>
    <col min="4869" max="4869" width="0" style="90" hidden="1" customWidth="1"/>
    <col min="4870" max="4870" width="4.875" style="90" customWidth="1"/>
    <col min="4871" max="5112" width="8.875" style="90"/>
    <col min="5113" max="5113" width="9" style="90" customWidth="1"/>
    <col min="5114" max="5114" width="15.625" style="90" customWidth="1"/>
    <col min="5115" max="5115" width="7.5" style="90" customWidth="1"/>
    <col min="5116" max="5116" width="7.625" style="90" customWidth="1"/>
    <col min="5117" max="5117" width="6.5" style="90" bestFit="1" customWidth="1"/>
    <col min="5118" max="5118" width="7.5" style="90" bestFit="1" customWidth="1"/>
    <col min="5119" max="5120" width="8.875" style="90"/>
    <col min="5121" max="5121" width="5.5" style="90" customWidth="1"/>
    <col min="5122" max="5122" width="8.875" style="90"/>
    <col min="5123" max="5123" width="64.375" style="90" customWidth="1"/>
    <col min="5124" max="5124" width="8.125" style="90" customWidth="1"/>
    <col min="5125" max="5125" width="0" style="90" hidden="1" customWidth="1"/>
    <col min="5126" max="5126" width="4.875" style="90" customWidth="1"/>
    <col min="5127" max="5368" width="8.875" style="90"/>
    <col min="5369" max="5369" width="9" style="90" customWidth="1"/>
    <col min="5370" max="5370" width="15.625" style="90" customWidth="1"/>
    <col min="5371" max="5371" width="7.5" style="90" customWidth="1"/>
    <col min="5372" max="5372" width="7.625" style="90" customWidth="1"/>
    <col min="5373" max="5373" width="6.5" style="90" bestFit="1" customWidth="1"/>
    <col min="5374" max="5374" width="7.5" style="90" bestFit="1" customWidth="1"/>
    <col min="5375" max="5376" width="8.875" style="90"/>
    <col min="5377" max="5377" width="5.5" style="90" customWidth="1"/>
    <col min="5378" max="5378" width="8.875" style="90"/>
    <col min="5379" max="5379" width="64.375" style="90" customWidth="1"/>
    <col min="5380" max="5380" width="8.125" style="90" customWidth="1"/>
    <col min="5381" max="5381" width="0" style="90" hidden="1" customWidth="1"/>
    <col min="5382" max="5382" width="4.875" style="90" customWidth="1"/>
    <col min="5383" max="5624" width="8.875" style="90"/>
    <col min="5625" max="5625" width="9" style="90" customWidth="1"/>
    <col min="5626" max="5626" width="15.625" style="90" customWidth="1"/>
    <col min="5627" max="5627" width="7.5" style="90" customWidth="1"/>
    <col min="5628" max="5628" width="7.625" style="90" customWidth="1"/>
    <col min="5629" max="5629" width="6.5" style="90" bestFit="1" customWidth="1"/>
    <col min="5630" max="5630" width="7.5" style="90" bestFit="1" customWidth="1"/>
    <col min="5631" max="5632" width="8.875" style="90"/>
    <col min="5633" max="5633" width="5.5" style="90" customWidth="1"/>
    <col min="5634" max="5634" width="8.875" style="90"/>
    <col min="5635" max="5635" width="64.375" style="90" customWidth="1"/>
    <col min="5636" max="5636" width="8.125" style="90" customWidth="1"/>
    <col min="5637" max="5637" width="0" style="90" hidden="1" customWidth="1"/>
    <col min="5638" max="5638" width="4.875" style="90" customWidth="1"/>
    <col min="5639" max="5880" width="8.875" style="90"/>
    <col min="5881" max="5881" width="9" style="90" customWidth="1"/>
    <col min="5882" max="5882" width="15.625" style="90" customWidth="1"/>
    <col min="5883" max="5883" width="7.5" style="90" customWidth="1"/>
    <col min="5884" max="5884" width="7.625" style="90" customWidth="1"/>
    <col min="5885" max="5885" width="6.5" style="90" bestFit="1" customWidth="1"/>
    <col min="5886" max="5886" width="7.5" style="90" bestFit="1" customWidth="1"/>
    <col min="5887" max="5888" width="8.875" style="90"/>
    <col min="5889" max="5889" width="5.5" style="90" customWidth="1"/>
    <col min="5890" max="5890" width="8.875" style="90"/>
    <col min="5891" max="5891" width="64.375" style="90" customWidth="1"/>
    <col min="5892" max="5892" width="8.125" style="90" customWidth="1"/>
    <col min="5893" max="5893" width="0" style="90" hidden="1" customWidth="1"/>
    <col min="5894" max="5894" width="4.875" style="90" customWidth="1"/>
    <col min="5895" max="6136" width="8.875" style="90"/>
    <col min="6137" max="6137" width="9" style="90" customWidth="1"/>
    <col min="6138" max="6138" width="15.625" style="90" customWidth="1"/>
    <col min="6139" max="6139" width="7.5" style="90" customWidth="1"/>
    <col min="6140" max="6140" width="7.625" style="90" customWidth="1"/>
    <col min="6141" max="6141" width="6.5" style="90" bestFit="1" customWidth="1"/>
    <col min="6142" max="6142" width="7.5" style="90" bestFit="1" customWidth="1"/>
    <col min="6143" max="6144" width="8.875" style="90"/>
    <col min="6145" max="6145" width="5.5" style="90" customWidth="1"/>
    <col min="6146" max="6146" width="8.875" style="90"/>
    <col min="6147" max="6147" width="64.375" style="90" customWidth="1"/>
    <col min="6148" max="6148" width="8.125" style="90" customWidth="1"/>
    <col min="6149" max="6149" width="0" style="90" hidden="1" customWidth="1"/>
    <col min="6150" max="6150" width="4.875" style="90" customWidth="1"/>
    <col min="6151" max="6392" width="8.875" style="90"/>
    <col min="6393" max="6393" width="9" style="90" customWidth="1"/>
    <col min="6394" max="6394" width="15.625" style="90" customWidth="1"/>
    <col min="6395" max="6395" width="7.5" style="90" customWidth="1"/>
    <col min="6396" max="6396" width="7.625" style="90" customWidth="1"/>
    <col min="6397" max="6397" width="6.5" style="90" bestFit="1" customWidth="1"/>
    <col min="6398" max="6398" width="7.5" style="90" bestFit="1" customWidth="1"/>
    <col min="6399" max="6400" width="8.875" style="90"/>
    <col min="6401" max="6401" width="5.5" style="90" customWidth="1"/>
    <col min="6402" max="6402" width="8.875" style="90"/>
    <col min="6403" max="6403" width="64.375" style="90" customWidth="1"/>
    <col min="6404" max="6404" width="8.125" style="90" customWidth="1"/>
    <col min="6405" max="6405" width="0" style="90" hidden="1" customWidth="1"/>
    <col min="6406" max="6406" width="4.875" style="90" customWidth="1"/>
    <col min="6407" max="6648" width="8.875" style="90"/>
    <col min="6649" max="6649" width="9" style="90" customWidth="1"/>
    <col min="6650" max="6650" width="15.625" style="90" customWidth="1"/>
    <col min="6651" max="6651" width="7.5" style="90" customWidth="1"/>
    <col min="6652" max="6652" width="7.625" style="90" customWidth="1"/>
    <col min="6653" max="6653" width="6.5" style="90" bestFit="1" customWidth="1"/>
    <col min="6654" max="6654" width="7.5" style="90" bestFit="1" customWidth="1"/>
    <col min="6655" max="6656" width="8.875" style="90"/>
    <col min="6657" max="6657" width="5.5" style="90" customWidth="1"/>
    <col min="6658" max="6658" width="8.875" style="90"/>
    <col min="6659" max="6659" width="64.375" style="90" customWidth="1"/>
    <col min="6660" max="6660" width="8.125" style="90" customWidth="1"/>
    <col min="6661" max="6661" width="0" style="90" hidden="1" customWidth="1"/>
    <col min="6662" max="6662" width="4.875" style="90" customWidth="1"/>
    <col min="6663" max="6904" width="8.875" style="90"/>
    <col min="6905" max="6905" width="9" style="90" customWidth="1"/>
    <col min="6906" max="6906" width="15.625" style="90" customWidth="1"/>
    <col min="6907" max="6907" width="7.5" style="90" customWidth="1"/>
    <col min="6908" max="6908" width="7.625" style="90" customWidth="1"/>
    <col min="6909" max="6909" width="6.5" style="90" bestFit="1" customWidth="1"/>
    <col min="6910" max="6910" width="7.5" style="90" bestFit="1" customWidth="1"/>
    <col min="6911" max="6912" width="8.875" style="90"/>
    <col min="6913" max="6913" width="5.5" style="90" customWidth="1"/>
    <col min="6914" max="6914" width="8.875" style="90"/>
    <col min="6915" max="6915" width="64.375" style="90" customWidth="1"/>
    <col min="6916" max="6916" width="8.125" style="90" customWidth="1"/>
    <col min="6917" max="6917" width="0" style="90" hidden="1" customWidth="1"/>
    <col min="6918" max="6918" width="4.875" style="90" customWidth="1"/>
    <col min="6919" max="7160" width="8.875" style="90"/>
    <col min="7161" max="7161" width="9" style="90" customWidth="1"/>
    <col min="7162" max="7162" width="15.625" style="90" customWidth="1"/>
    <col min="7163" max="7163" width="7.5" style="90" customWidth="1"/>
    <col min="7164" max="7164" width="7.625" style="90" customWidth="1"/>
    <col min="7165" max="7165" width="6.5" style="90" bestFit="1" customWidth="1"/>
    <col min="7166" max="7166" width="7.5" style="90" bestFit="1" customWidth="1"/>
    <col min="7167" max="7168" width="8.875" style="90"/>
    <col min="7169" max="7169" width="5.5" style="90" customWidth="1"/>
    <col min="7170" max="7170" width="8.875" style="90"/>
    <col min="7171" max="7171" width="64.375" style="90" customWidth="1"/>
    <col min="7172" max="7172" width="8.125" style="90" customWidth="1"/>
    <col min="7173" max="7173" width="0" style="90" hidden="1" customWidth="1"/>
    <col min="7174" max="7174" width="4.875" style="90" customWidth="1"/>
    <col min="7175" max="7416" width="8.875" style="90"/>
    <col min="7417" max="7417" width="9" style="90" customWidth="1"/>
    <col min="7418" max="7418" width="15.625" style="90" customWidth="1"/>
    <col min="7419" max="7419" width="7.5" style="90" customWidth="1"/>
    <col min="7420" max="7420" width="7.625" style="90" customWidth="1"/>
    <col min="7421" max="7421" width="6.5" style="90" bestFit="1" customWidth="1"/>
    <col min="7422" max="7422" width="7.5" style="90" bestFit="1" customWidth="1"/>
    <col min="7423" max="7424" width="8.875" style="90"/>
    <col min="7425" max="7425" width="5.5" style="90" customWidth="1"/>
    <col min="7426" max="7426" width="8.875" style="90"/>
    <col min="7427" max="7427" width="64.375" style="90" customWidth="1"/>
    <col min="7428" max="7428" width="8.125" style="90" customWidth="1"/>
    <col min="7429" max="7429" width="0" style="90" hidden="1" customWidth="1"/>
    <col min="7430" max="7430" width="4.875" style="90" customWidth="1"/>
    <col min="7431" max="7672" width="8.875" style="90"/>
    <col min="7673" max="7673" width="9" style="90" customWidth="1"/>
    <col min="7674" max="7674" width="15.625" style="90" customWidth="1"/>
    <col min="7675" max="7675" width="7.5" style="90" customWidth="1"/>
    <col min="7676" max="7676" width="7.625" style="90" customWidth="1"/>
    <col min="7677" max="7677" width="6.5" style="90" bestFit="1" customWidth="1"/>
    <col min="7678" max="7678" width="7.5" style="90" bestFit="1" customWidth="1"/>
    <col min="7679" max="7680" width="8.875" style="90"/>
    <col min="7681" max="7681" width="5.5" style="90" customWidth="1"/>
    <col min="7682" max="7682" width="8.875" style="90"/>
    <col min="7683" max="7683" width="64.375" style="90" customWidth="1"/>
    <col min="7684" max="7684" width="8.125" style="90" customWidth="1"/>
    <col min="7685" max="7685" width="0" style="90" hidden="1" customWidth="1"/>
    <col min="7686" max="7686" width="4.875" style="90" customWidth="1"/>
    <col min="7687" max="7928" width="8.875" style="90"/>
    <col min="7929" max="7929" width="9" style="90" customWidth="1"/>
    <col min="7930" max="7930" width="15.625" style="90" customWidth="1"/>
    <col min="7931" max="7931" width="7.5" style="90" customWidth="1"/>
    <col min="7932" max="7932" width="7.625" style="90" customWidth="1"/>
    <col min="7933" max="7933" width="6.5" style="90" bestFit="1" customWidth="1"/>
    <col min="7934" max="7934" width="7.5" style="90" bestFit="1" customWidth="1"/>
    <col min="7935" max="7936" width="8.875" style="90"/>
    <col min="7937" max="7937" width="5.5" style="90" customWidth="1"/>
    <col min="7938" max="7938" width="8.875" style="90"/>
    <col min="7939" max="7939" width="64.375" style="90" customWidth="1"/>
    <col min="7940" max="7940" width="8.125" style="90" customWidth="1"/>
    <col min="7941" max="7941" width="0" style="90" hidden="1" customWidth="1"/>
    <col min="7942" max="7942" width="4.875" style="90" customWidth="1"/>
    <col min="7943" max="8184" width="8.875" style="90"/>
    <col min="8185" max="8185" width="9" style="90" customWidth="1"/>
    <col min="8186" max="8186" width="15.625" style="90" customWidth="1"/>
    <col min="8187" max="8187" width="7.5" style="90" customWidth="1"/>
    <col min="8188" max="8188" width="7.625" style="90" customWidth="1"/>
    <col min="8189" max="8189" width="6.5" style="90" bestFit="1" customWidth="1"/>
    <col min="8190" max="8190" width="7.5" style="90" bestFit="1" customWidth="1"/>
    <col min="8191" max="8192" width="8.875" style="90"/>
    <col min="8193" max="8193" width="5.5" style="90" customWidth="1"/>
    <col min="8194" max="8194" width="8.875" style="90"/>
    <col min="8195" max="8195" width="64.375" style="90" customWidth="1"/>
    <col min="8196" max="8196" width="8.125" style="90" customWidth="1"/>
    <col min="8197" max="8197" width="0" style="90" hidden="1" customWidth="1"/>
    <col min="8198" max="8198" width="4.875" style="90" customWidth="1"/>
    <col min="8199" max="8440" width="8.875" style="90"/>
    <col min="8441" max="8441" width="9" style="90" customWidth="1"/>
    <col min="8442" max="8442" width="15.625" style="90" customWidth="1"/>
    <col min="8443" max="8443" width="7.5" style="90" customWidth="1"/>
    <col min="8444" max="8444" width="7.625" style="90" customWidth="1"/>
    <col min="8445" max="8445" width="6.5" style="90" bestFit="1" customWidth="1"/>
    <col min="8446" max="8446" width="7.5" style="90" bestFit="1" customWidth="1"/>
    <col min="8447" max="8448" width="8.875" style="90"/>
    <col min="8449" max="8449" width="5.5" style="90" customWidth="1"/>
    <col min="8450" max="8450" width="8.875" style="90"/>
    <col min="8451" max="8451" width="64.375" style="90" customWidth="1"/>
    <col min="8452" max="8452" width="8.125" style="90" customWidth="1"/>
    <col min="8453" max="8453" width="0" style="90" hidden="1" customWidth="1"/>
    <col min="8454" max="8454" width="4.875" style="90" customWidth="1"/>
    <col min="8455" max="8696" width="8.875" style="90"/>
    <col min="8697" max="8697" width="9" style="90" customWidth="1"/>
    <col min="8698" max="8698" width="15.625" style="90" customWidth="1"/>
    <col min="8699" max="8699" width="7.5" style="90" customWidth="1"/>
    <col min="8700" max="8700" width="7.625" style="90" customWidth="1"/>
    <col min="8701" max="8701" width="6.5" style="90" bestFit="1" customWidth="1"/>
    <col min="8702" max="8702" width="7.5" style="90" bestFit="1" customWidth="1"/>
    <col min="8703" max="8704" width="8.875" style="90"/>
    <col min="8705" max="8705" width="5.5" style="90" customWidth="1"/>
    <col min="8706" max="8706" width="8.875" style="90"/>
    <col min="8707" max="8707" width="64.375" style="90" customWidth="1"/>
    <col min="8708" max="8708" width="8.125" style="90" customWidth="1"/>
    <col min="8709" max="8709" width="0" style="90" hidden="1" customWidth="1"/>
    <col min="8710" max="8710" width="4.875" style="90" customWidth="1"/>
    <col min="8711" max="8952" width="8.875" style="90"/>
    <col min="8953" max="8953" width="9" style="90" customWidth="1"/>
    <col min="8954" max="8954" width="15.625" style="90" customWidth="1"/>
    <col min="8955" max="8955" width="7.5" style="90" customWidth="1"/>
    <col min="8956" max="8956" width="7.625" style="90" customWidth="1"/>
    <col min="8957" max="8957" width="6.5" style="90" bestFit="1" customWidth="1"/>
    <col min="8958" max="8958" width="7.5" style="90" bestFit="1" customWidth="1"/>
    <col min="8959" max="8960" width="8.875" style="90"/>
    <col min="8961" max="8961" width="5.5" style="90" customWidth="1"/>
    <col min="8962" max="8962" width="8.875" style="90"/>
    <col min="8963" max="8963" width="64.375" style="90" customWidth="1"/>
    <col min="8964" max="8964" width="8.125" style="90" customWidth="1"/>
    <col min="8965" max="8965" width="0" style="90" hidden="1" customWidth="1"/>
    <col min="8966" max="8966" width="4.875" style="90" customWidth="1"/>
    <col min="8967" max="9208" width="8.875" style="90"/>
    <col min="9209" max="9209" width="9" style="90" customWidth="1"/>
    <col min="9210" max="9210" width="15.625" style="90" customWidth="1"/>
    <col min="9211" max="9211" width="7.5" style="90" customWidth="1"/>
    <col min="9212" max="9212" width="7.625" style="90" customWidth="1"/>
    <col min="9213" max="9213" width="6.5" style="90" bestFit="1" customWidth="1"/>
    <col min="9214" max="9214" width="7.5" style="90" bestFit="1" customWidth="1"/>
    <col min="9215" max="9216" width="8.875" style="90"/>
    <col min="9217" max="9217" width="5.5" style="90" customWidth="1"/>
    <col min="9218" max="9218" width="8.875" style="90"/>
    <col min="9219" max="9219" width="64.375" style="90" customWidth="1"/>
    <col min="9220" max="9220" width="8.125" style="90" customWidth="1"/>
    <col min="9221" max="9221" width="0" style="90" hidden="1" customWidth="1"/>
    <col min="9222" max="9222" width="4.875" style="90" customWidth="1"/>
    <col min="9223" max="9464" width="8.875" style="90"/>
    <col min="9465" max="9465" width="9" style="90" customWidth="1"/>
    <col min="9466" max="9466" width="15.625" style="90" customWidth="1"/>
    <col min="9467" max="9467" width="7.5" style="90" customWidth="1"/>
    <col min="9468" max="9468" width="7.625" style="90" customWidth="1"/>
    <col min="9469" max="9469" width="6.5" style="90" bestFit="1" customWidth="1"/>
    <col min="9470" max="9470" width="7.5" style="90" bestFit="1" customWidth="1"/>
    <col min="9471" max="9472" width="8.875" style="90"/>
    <col min="9473" max="9473" width="5.5" style="90" customWidth="1"/>
    <col min="9474" max="9474" width="8.875" style="90"/>
    <col min="9475" max="9475" width="64.375" style="90" customWidth="1"/>
    <col min="9476" max="9476" width="8.125" style="90" customWidth="1"/>
    <col min="9477" max="9477" width="0" style="90" hidden="1" customWidth="1"/>
    <col min="9478" max="9478" width="4.875" style="90" customWidth="1"/>
    <col min="9479" max="9720" width="8.875" style="90"/>
    <col min="9721" max="9721" width="9" style="90" customWidth="1"/>
    <col min="9722" max="9722" width="15.625" style="90" customWidth="1"/>
    <col min="9723" max="9723" width="7.5" style="90" customWidth="1"/>
    <col min="9724" max="9724" width="7.625" style="90" customWidth="1"/>
    <col min="9725" max="9725" width="6.5" style="90" bestFit="1" customWidth="1"/>
    <col min="9726" max="9726" width="7.5" style="90" bestFit="1" customWidth="1"/>
    <col min="9727" max="9728" width="8.875" style="90"/>
    <col min="9729" max="9729" width="5.5" style="90" customWidth="1"/>
    <col min="9730" max="9730" width="8.875" style="90"/>
    <col min="9731" max="9731" width="64.375" style="90" customWidth="1"/>
    <col min="9732" max="9732" width="8.125" style="90" customWidth="1"/>
    <col min="9733" max="9733" width="0" style="90" hidden="1" customWidth="1"/>
    <col min="9734" max="9734" width="4.875" style="90" customWidth="1"/>
    <col min="9735" max="9976" width="8.875" style="90"/>
    <col min="9977" max="9977" width="9" style="90" customWidth="1"/>
    <col min="9978" max="9978" width="15.625" style="90" customWidth="1"/>
    <col min="9979" max="9979" width="7.5" style="90" customWidth="1"/>
    <col min="9980" max="9980" width="7.625" style="90" customWidth="1"/>
    <col min="9981" max="9981" width="6.5" style="90" bestFit="1" customWidth="1"/>
    <col min="9982" max="9982" width="7.5" style="90" bestFit="1" customWidth="1"/>
    <col min="9983" max="9984" width="8.875" style="90"/>
    <col min="9985" max="9985" width="5.5" style="90" customWidth="1"/>
    <col min="9986" max="9986" width="8.875" style="90"/>
    <col min="9987" max="9987" width="64.375" style="90" customWidth="1"/>
    <col min="9988" max="9988" width="8.125" style="90" customWidth="1"/>
    <col min="9989" max="9989" width="0" style="90" hidden="1" customWidth="1"/>
    <col min="9990" max="9990" width="4.875" style="90" customWidth="1"/>
    <col min="9991" max="10232" width="8.875" style="90"/>
    <col min="10233" max="10233" width="9" style="90" customWidth="1"/>
    <col min="10234" max="10234" width="15.625" style="90" customWidth="1"/>
    <col min="10235" max="10235" width="7.5" style="90" customWidth="1"/>
    <col min="10236" max="10236" width="7.625" style="90" customWidth="1"/>
    <col min="10237" max="10237" width="6.5" style="90" bestFit="1" customWidth="1"/>
    <col min="10238" max="10238" width="7.5" style="90" bestFit="1" customWidth="1"/>
    <col min="10239" max="10240" width="8.875" style="90"/>
    <col min="10241" max="10241" width="5.5" style="90" customWidth="1"/>
    <col min="10242" max="10242" width="8.875" style="90"/>
    <col min="10243" max="10243" width="64.375" style="90" customWidth="1"/>
    <col min="10244" max="10244" width="8.125" style="90" customWidth="1"/>
    <col min="10245" max="10245" width="0" style="90" hidden="1" customWidth="1"/>
    <col min="10246" max="10246" width="4.875" style="90" customWidth="1"/>
    <col min="10247" max="10488" width="8.875" style="90"/>
    <col min="10489" max="10489" width="9" style="90" customWidth="1"/>
    <col min="10490" max="10490" width="15.625" style="90" customWidth="1"/>
    <col min="10491" max="10491" width="7.5" style="90" customWidth="1"/>
    <col min="10492" max="10492" width="7.625" style="90" customWidth="1"/>
    <col min="10493" max="10493" width="6.5" style="90" bestFit="1" customWidth="1"/>
    <col min="10494" max="10494" width="7.5" style="90" bestFit="1" customWidth="1"/>
    <col min="10495" max="10496" width="8.875" style="90"/>
    <col min="10497" max="10497" width="5.5" style="90" customWidth="1"/>
    <col min="10498" max="10498" width="8.875" style="90"/>
    <col min="10499" max="10499" width="64.375" style="90" customWidth="1"/>
    <col min="10500" max="10500" width="8.125" style="90" customWidth="1"/>
    <col min="10501" max="10501" width="0" style="90" hidden="1" customWidth="1"/>
    <col min="10502" max="10502" width="4.875" style="90" customWidth="1"/>
    <col min="10503" max="10744" width="8.875" style="90"/>
    <col min="10745" max="10745" width="9" style="90" customWidth="1"/>
    <col min="10746" max="10746" width="15.625" style="90" customWidth="1"/>
    <col min="10747" max="10747" width="7.5" style="90" customWidth="1"/>
    <col min="10748" max="10748" width="7.625" style="90" customWidth="1"/>
    <col min="10749" max="10749" width="6.5" style="90" bestFit="1" customWidth="1"/>
    <col min="10750" max="10750" width="7.5" style="90" bestFit="1" customWidth="1"/>
    <col min="10751" max="10752" width="8.875" style="90"/>
    <col min="10753" max="10753" width="5.5" style="90" customWidth="1"/>
    <col min="10754" max="10754" width="8.875" style="90"/>
    <col min="10755" max="10755" width="64.375" style="90" customWidth="1"/>
    <col min="10756" max="10756" width="8.125" style="90" customWidth="1"/>
    <col min="10757" max="10757" width="0" style="90" hidden="1" customWidth="1"/>
    <col min="10758" max="10758" width="4.875" style="90" customWidth="1"/>
    <col min="10759" max="11000" width="8.875" style="90"/>
    <col min="11001" max="11001" width="9" style="90" customWidth="1"/>
    <col min="11002" max="11002" width="15.625" style="90" customWidth="1"/>
    <col min="11003" max="11003" width="7.5" style="90" customWidth="1"/>
    <col min="11004" max="11004" width="7.625" style="90" customWidth="1"/>
    <col min="11005" max="11005" width="6.5" style="90" bestFit="1" customWidth="1"/>
    <col min="11006" max="11006" width="7.5" style="90" bestFit="1" customWidth="1"/>
    <col min="11007" max="11008" width="8.875" style="90"/>
    <col min="11009" max="11009" width="5.5" style="90" customWidth="1"/>
    <col min="11010" max="11010" width="8.875" style="90"/>
    <col min="11011" max="11011" width="64.375" style="90" customWidth="1"/>
    <col min="11012" max="11012" width="8.125" style="90" customWidth="1"/>
    <col min="11013" max="11013" width="0" style="90" hidden="1" customWidth="1"/>
    <col min="11014" max="11014" width="4.875" style="90" customWidth="1"/>
    <col min="11015" max="11256" width="8.875" style="90"/>
    <col min="11257" max="11257" width="9" style="90" customWidth="1"/>
    <col min="11258" max="11258" width="15.625" style="90" customWidth="1"/>
    <col min="11259" max="11259" width="7.5" style="90" customWidth="1"/>
    <col min="11260" max="11260" width="7.625" style="90" customWidth="1"/>
    <col min="11261" max="11261" width="6.5" style="90" bestFit="1" customWidth="1"/>
    <col min="11262" max="11262" width="7.5" style="90" bestFit="1" customWidth="1"/>
    <col min="11263" max="11264" width="8.875" style="90"/>
    <col min="11265" max="11265" width="5.5" style="90" customWidth="1"/>
    <col min="11266" max="11266" width="8.875" style="90"/>
    <col min="11267" max="11267" width="64.375" style="90" customWidth="1"/>
    <col min="11268" max="11268" width="8.125" style="90" customWidth="1"/>
    <col min="11269" max="11269" width="0" style="90" hidden="1" customWidth="1"/>
    <col min="11270" max="11270" width="4.875" style="90" customWidth="1"/>
    <col min="11271" max="11512" width="8.875" style="90"/>
    <col min="11513" max="11513" width="9" style="90" customWidth="1"/>
    <col min="11514" max="11514" width="15.625" style="90" customWidth="1"/>
    <col min="11515" max="11515" width="7.5" style="90" customWidth="1"/>
    <col min="11516" max="11516" width="7.625" style="90" customWidth="1"/>
    <col min="11517" max="11517" width="6.5" style="90" bestFit="1" customWidth="1"/>
    <col min="11518" max="11518" width="7.5" style="90" bestFit="1" customWidth="1"/>
    <col min="11519" max="11520" width="8.875" style="90"/>
    <col min="11521" max="11521" width="5.5" style="90" customWidth="1"/>
    <col min="11522" max="11522" width="8.875" style="90"/>
    <col min="11523" max="11523" width="64.375" style="90" customWidth="1"/>
    <col min="11524" max="11524" width="8.125" style="90" customWidth="1"/>
    <col min="11525" max="11525" width="0" style="90" hidden="1" customWidth="1"/>
    <col min="11526" max="11526" width="4.875" style="90" customWidth="1"/>
    <col min="11527" max="11768" width="8.875" style="90"/>
    <col min="11769" max="11769" width="9" style="90" customWidth="1"/>
    <col min="11770" max="11770" width="15.625" style="90" customWidth="1"/>
    <col min="11771" max="11771" width="7.5" style="90" customWidth="1"/>
    <col min="11772" max="11772" width="7.625" style="90" customWidth="1"/>
    <col min="11773" max="11773" width="6.5" style="90" bestFit="1" customWidth="1"/>
    <col min="11774" max="11774" width="7.5" style="90" bestFit="1" customWidth="1"/>
    <col min="11775" max="11776" width="8.875" style="90"/>
    <col min="11777" max="11777" width="5.5" style="90" customWidth="1"/>
    <col min="11778" max="11778" width="8.875" style="90"/>
    <col min="11779" max="11779" width="64.375" style="90" customWidth="1"/>
    <col min="11780" max="11780" width="8.125" style="90" customWidth="1"/>
    <col min="11781" max="11781" width="0" style="90" hidden="1" customWidth="1"/>
    <col min="11782" max="11782" width="4.875" style="90" customWidth="1"/>
    <col min="11783" max="12024" width="8.875" style="90"/>
    <col min="12025" max="12025" width="9" style="90" customWidth="1"/>
    <col min="12026" max="12026" width="15.625" style="90" customWidth="1"/>
    <col min="12027" max="12027" width="7.5" style="90" customWidth="1"/>
    <col min="12028" max="12028" width="7.625" style="90" customWidth="1"/>
    <col min="12029" max="12029" width="6.5" style="90" bestFit="1" customWidth="1"/>
    <col min="12030" max="12030" width="7.5" style="90" bestFit="1" customWidth="1"/>
    <col min="12031" max="12032" width="8.875" style="90"/>
    <col min="12033" max="12033" width="5.5" style="90" customWidth="1"/>
    <col min="12034" max="12034" width="8.875" style="90"/>
    <col min="12035" max="12035" width="64.375" style="90" customWidth="1"/>
    <col min="12036" max="12036" width="8.125" style="90" customWidth="1"/>
    <col min="12037" max="12037" width="0" style="90" hidden="1" customWidth="1"/>
    <col min="12038" max="12038" width="4.875" style="90" customWidth="1"/>
    <col min="12039" max="12280" width="8.875" style="90"/>
    <col min="12281" max="12281" width="9" style="90" customWidth="1"/>
    <col min="12282" max="12282" width="15.625" style="90" customWidth="1"/>
    <col min="12283" max="12283" width="7.5" style="90" customWidth="1"/>
    <col min="12284" max="12284" width="7.625" style="90" customWidth="1"/>
    <col min="12285" max="12285" width="6.5" style="90" bestFit="1" customWidth="1"/>
    <col min="12286" max="12286" width="7.5" style="90" bestFit="1" customWidth="1"/>
    <col min="12287" max="12288" width="8.875" style="90"/>
    <col min="12289" max="12289" width="5.5" style="90" customWidth="1"/>
    <col min="12290" max="12290" width="8.875" style="90"/>
    <col min="12291" max="12291" width="64.375" style="90" customWidth="1"/>
    <col min="12292" max="12292" width="8.125" style="90" customWidth="1"/>
    <col min="12293" max="12293" width="0" style="90" hidden="1" customWidth="1"/>
    <col min="12294" max="12294" width="4.875" style="90" customWidth="1"/>
    <col min="12295" max="12536" width="8.875" style="90"/>
    <col min="12537" max="12537" width="9" style="90" customWidth="1"/>
    <col min="12538" max="12538" width="15.625" style="90" customWidth="1"/>
    <col min="12539" max="12539" width="7.5" style="90" customWidth="1"/>
    <col min="12540" max="12540" width="7.625" style="90" customWidth="1"/>
    <col min="12541" max="12541" width="6.5" style="90" bestFit="1" customWidth="1"/>
    <col min="12542" max="12542" width="7.5" style="90" bestFit="1" customWidth="1"/>
    <col min="12543" max="12544" width="8.875" style="90"/>
    <col min="12545" max="12545" width="5.5" style="90" customWidth="1"/>
    <col min="12546" max="12546" width="8.875" style="90"/>
    <col min="12547" max="12547" width="64.375" style="90" customWidth="1"/>
    <col min="12548" max="12548" width="8.125" style="90" customWidth="1"/>
    <col min="12549" max="12549" width="0" style="90" hidden="1" customWidth="1"/>
    <col min="12550" max="12550" width="4.875" style="90" customWidth="1"/>
    <col min="12551" max="12792" width="8.875" style="90"/>
    <col min="12793" max="12793" width="9" style="90" customWidth="1"/>
    <col min="12794" max="12794" width="15.625" style="90" customWidth="1"/>
    <col min="12795" max="12795" width="7.5" style="90" customWidth="1"/>
    <col min="12796" max="12796" width="7.625" style="90" customWidth="1"/>
    <col min="12797" max="12797" width="6.5" style="90" bestFit="1" customWidth="1"/>
    <col min="12798" max="12798" width="7.5" style="90" bestFit="1" customWidth="1"/>
    <col min="12799" max="12800" width="8.875" style="90"/>
    <col min="12801" max="12801" width="5.5" style="90" customWidth="1"/>
    <col min="12802" max="12802" width="8.875" style="90"/>
    <col min="12803" max="12803" width="64.375" style="90" customWidth="1"/>
    <col min="12804" max="12804" width="8.125" style="90" customWidth="1"/>
    <col min="12805" max="12805" width="0" style="90" hidden="1" customWidth="1"/>
    <col min="12806" max="12806" width="4.875" style="90" customWidth="1"/>
    <col min="12807" max="13048" width="8.875" style="90"/>
    <col min="13049" max="13049" width="9" style="90" customWidth="1"/>
    <col min="13050" max="13050" width="15.625" style="90" customWidth="1"/>
    <col min="13051" max="13051" width="7.5" style="90" customWidth="1"/>
    <col min="13052" max="13052" width="7.625" style="90" customWidth="1"/>
    <col min="13053" max="13053" width="6.5" style="90" bestFit="1" customWidth="1"/>
    <col min="13054" max="13054" width="7.5" style="90" bestFit="1" customWidth="1"/>
    <col min="13055" max="13056" width="8.875" style="90"/>
    <col min="13057" max="13057" width="5.5" style="90" customWidth="1"/>
    <col min="13058" max="13058" width="8.875" style="90"/>
    <col min="13059" max="13059" width="64.375" style="90" customWidth="1"/>
    <col min="13060" max="13060" width="8.125" style="90" customWidth="1"/>
    <col min="13061" max="13061" width="0" style="90" hidden="1" customWidth="1"/>
    <col min="13062" max="13062" width="4.875" style="90" customWidth="1"/>
    <col min="13063" max="13304" width="8.875" style="90"/>
    <col min="13305" max="13305" width="9" style="90" customWidth="1"/>
    <col min="13306" max="13306" width="15.625" style="90" customWidth="1"/>
    <col min="13307" max="13307" width="7.5" style="90" customWidth="1"/>
    <col min="13308" max="13308" width="7.625" style="90" customWidth="1"/>
    <col min="13309" max="13309" width="6.5" style="90" bestFit="1" customWidth="1"/>
    <col min="13310" max="13310" width="7.5" style="90" bestFit="1" customWidth="1"/>
    <col min="13311" max="13312" width="8.875" style="90"/>
    <col min="13313" max="13313" width="5.5" style="90" customWidth="1"/>
    <col min="13314" max="13314" width="8.875" style="90"/>
    <col min="13315" max="13315" width="64.375" style="90" customWidth="1"/>
    <col min="13316" max="13316" width="8.125" style="90" customWidth="1"/>
    <col min="13317" max="13317" width="0" style="90" hidden="1" customWidth="1"/>
    <col min="13318" max="13318" width="4.875" style="90" customWidth="1"/>
    <col min="13319" max="13560" width="8.875" style="90"/>
    <col min="13561" max="13561" width="9" style="90" customWidth="1"/>
    <col min="13562" max="13562" width="15.625" style="90" customWidth="1"/>
    <col min="13563" max="13563" width="7.5" style="90" customWidth="1"/>
    <col min="13564" max="13564" width="7.625" style="90" customWidth="1"/>
    <col min="13565" max="13565" width="6.5" style="90" bestFit="1" customWidth="1"/>
    <col min="13566" max="13566" width="7.5" style="90" bestFit="1" customWidth="1"/>
    <col min="13567" max="13568" width="8.875" style="90"/>
    <col min="13569" max="13569" width="5.5" style="90" customWidth="1"/>
    <col min="13570" max="13570" width="8.875" style="90"/>
    <col min="13571" max="13571" width="64.375" style="90" customWidth="1"/>
    <col min="13572" max="13572" width="8.125" style="90" customWidth="1"/>
    <col min="13573" max="13573" width="0" style="90" hidden="1" customWidth="1"/>
    <col min="13574" max="13574" width="4.875" style="90" customWidth="1"/>
    <col min="13575" max="13816" width="8.875" style="90"/>
    <col min="13817" max="13817" width="9" style="90" customWidth="1"/>
    <col min="13818" max="13818" width="15.625" style="90" customWidth="1"/>
    <col min="13819" max="13819" width="7.5" style="90" customWidth="1"/>
    <col min="13820" max="13820" width="7.625" style="90" customWidth="1"/>
    <col min="13821" max="13821" width="6.5" style="90" bestFit="1" customWidth="1"/>
    <col min="13822" max="13822" width="7.5" style="90" bestFit="1" customWidth="1"/>
    <col min="13823" max="13824" width="8.875" style="90"/>
    <col min="13825" max="13825" width="5.5" style="90" customWidth="1"/>
    <col min="13826" max="13826" width="8.875" style="90"/>
    <col min="13827" max="13827" width="64.375" style="90" customWidth="1"/>
    <col min="13828" max="13828" width="8.125" style="90" customWidth="1"/>
    <col min="13829" max="13829" width="0" style="90" hidden="1" customWidth="1"/>
    <col min="13830" max="13830" width="4.875" style="90" customWidth="1"/>
    <col min="13831" max="14072" width="8.875" style="90"/>
    <col min="14073" max="14073" width="9" style="90" customWidth="1"/>
    <col min="14074" max="14074" width="15.625" style="90" customWidth="1"/>
    <col min="14075" max="14075" width="7.5" style="90" customWidth="1"/>
    <col min="14076" max="14076" width="7.625" style="90" customWidth="1"/>
    <col min="14077" max="14077" width="6.5" style="90" bestFit="1" customWidth="1"/>
    <col min="14078" max="14078" width="7.5" style="90" bestFit="1" customWidth="1"/>
    <col min="14079" max="14080" width="8.875" style="90"/>
    <col min="14081" max="14081" width="5.5" style="90" customWidth="1"/>
    <col min="14082" max="14082" width="8.875" style="90"/>
    <col min="14083" max="14083" width="64.375" style="90" customWidth="1"/>
    <col min="14084" max="14084" width="8.125" style="90" customWidth="1"/>
    <col min="14085" max="14085" width="0" style="90" hidden="1" customWidth="1"/>
    <col min="14086" max="14086" width="4.875" style="90" customWidth="1"/>
    <col min="14087" max="14328" width="8.875" style="90"/>
    <col min="14329" max="14329" width="9" style="90" customWidth="1"/>
    <col min="14330" max="14330" width="15.625" style="90" customWidth="1"/>
    <col min="14331" max="14331" width="7.5" style="90" customWidth="1"/>
    <col min="14332" max="14332" width="7.625" style="90" customWidth="1"/>
    <col min="14333" max="14333" width="6.5" style="90" bestFit="1" customWidth="1"/>
    <col min="14334" max="14334" width="7.5" style="90" bestFit="1" customWidth="1"/>
    <col min="14335" max="14336" width="8.875" style="90"/>
    <col min="14337" max="14337" width="5.5" style="90" customWidth="1"/>
    <col min="14338" max="14338" width="8.875" style="90"/>
    <col min="14339" max="14339" width="64.375" style="90" customWidth="1"/>
    <col min="14340" max="14340" width="8.125" style="90" customWidth="1"/>
    <col min="14341" max="14341" width="0" style="90" hidden="1" customWidth="1"/>
    <col min="14342" max="14342" width="4.875" style="90" customWidth="1"/>
    <col min="14343" max="14584" width="8.875" style="90"/>
    <col min="14585" max="14585" width="9" style="90" customWidth="1"/>
    <col min="14586" max="14586" width="15.625" style="90" customWidth="1"/>
    <col min="14587" max="14587" width="7.5" style="90" customWidth="1"/>
    <col min="14588" max="14588" width="7.625" style="90" customWidth="1"/>
    <col min="14589" max="14589" width="6.5" style="90" bestFit="1" customWidth="1"/>
    <col min="14590" max="14590" width="7.5" style="90" bestFit="1" customWidth="1"/>
    <col min="14591" max="14592" width="8.875" style="90"/>
    <col min="14593" max="14593" width="5.5" style="90" customWidth="1"/>
    <col min="14594" max="14594" width="8.875" style="90"/>
    <col min="14595" max="14595" width="64.375" style="90" customWidth="1"/>
    <col min="14596" max="14596" width="8.125" style="90" customWidth="1"/>
    <col min="14597" max="14597" width="0" style="90" hidden="1" customWidth="1"/>
    <col min="14598" max="14598" width="4.875" style="90" customWidth="1"/>
    <col min="14599" max="14840" width="8.875" style="90"/>
    <col min="14841" max="14841" width="9" style="90" customWidth="1"/>
    <col min="14842" max="14842" width="15.625" style="90" customWidth="1"/>
    <col min="14843" max="14843" width="7.5" style="90" customWidth="1"/>
    <col min="14844" max="14844" width="7.625" style="90" customWidth="1"/>
    <col min="14845" max="14845" width="6.5" style="90" bestFit="1" customWidth="1"/>
    <col min="14846" max="14846" width="7.5" style="90" bestFit="1" customWidth="1"/>
    <col min="14847" max="14848" width="8.875" style="90"/>
    <col min="14849" max="14849" width="5.5" style="90" customWidth="1"/>
    <col min="14850" max="14850" width="8.875" style="90"/>
    <col min="14851" max="14851" width="64.375" style="90" customWidth="1"/>
    <col min="14852" max="14852" width="8.125" style="90" customWidth="1"/>
    <col min="14853" max="14853" width="0" style="90" hidden="1" customWidth="1"/>
    <col min="14854" max="14854" width="4.875" style="90" customWidth="1"/>
    <col min="14855" max="15096" width="8.875" style="90"/>
    <col min="15097" max="15097" width="9" style="90" customWidth="1"/>
    <col min="15098" max="15098" width="15.625" style="90" customWidth="1"/>
    <col min="15099" max="15099" width="7.5" style="90" customWidth="1"/>
    <col min="15100" max="15100" width="7.625" style="90" customWidth="1"/>
    <col min="15101" max="15101" width="6.5" style="90" bestFit="1" customWidth="1"/>
    <col min="15102" max="15102" width="7.5" style="90" bestFit="1" customWidth="1"/>
    <col min="15103" max="15104" width="8.875" style="90"/>
    <col min="15105" max="15105" width="5.5" style="90" customWidth="1"/>
    <col min="15106" max="15106" width="8.875" style="90"/>
    <col min="15107" max="15107" width="64.375" style="90" customWidth="1"/>
    <col min="15108" max="15108" width="8.125" style="90" customWidth="1"/>
    <col min="15109" max="15109" width="0" style="90" hidden="1" customWidth="1"/>
    <col min="15110" max="15110" width="4.875" style="90" customWidth="1"/>
    <col min="15111" max="15352" width="8.875" style="90"/>
    <col min="15353" max="15353" width="9" style="90" customWidth="1"/>
    <col min="15354" max="15354" width="15.625" style="90" customWidth="1"/>
    <col min="15355" max="15355" width="7.5" style="90" customWidth="1"/>
    <col min="15356" max="15356" width="7.625" style="90" customWidth="1"/>
    <col min="15357" max="15357" width="6.5" style="90" bestFit="1" customWidth="1"/>
    <col min="15358" max="15358" width="7.5" style="90" bestFit="1" customWidth="1"/>
    <col min="15359" max="15360" width="8.875" style="90"/>
    <col min="15361" max="15361" width="5.5" style="90" customWidth="1"/>
    <col min="15362" max="15362" width="8.875" style="90"/>
    <col min="15363" max="15363" width="64.375" style="90" customWidth="1"/>
    <col min="15364" max="15364" width="8.125" style="90" customWidth="1"/>
    <col min="15365" max="15365" width="0" style="90" hidden="1" customWidth="1"/>
    <col min="15366" max="15366" width="4.875" style="90" customWidth="1"/>
    <col min="15367" max="15608" width="8.875" style="90"/>
    <col min="15609" max="15609" width="9" style="90" customWidth="1"/>
    <col min="15610" max="15610" width="15.625" style="90" customWidth="1"/>
    <col min="15611" max="15611" width="7.5" style="90" customWidth="1"/>
    <col min="15612" max="15612" width="7.625" style="90" customWidth="1"/>
    <col min="15613" max="15613" width="6.5" style="90" bestFit="1" customWidth="1"/>
    <col min="15614" max="15614" width="7.5" style="90" bestFit="1" customWidth="1"/>
    <col min="15615" max="15616" width="8.875" style="90"/>
    <col min="15617" max="15617" width="5.5" style="90" customWidth="1"/>
    <col min="15618" max="15618" width="8.875" style="90"/>
    <col min="15619" max="15619" width="64.375" style="90" customWidth="1"/>
    <col min="15620" max="15620" width="8.125" style="90" customWidth="1"/>
    <col min="15621" max="15621" width="0" style="90" hidden="1" customWidth="1"/>
    <col min="15622" max="15622" width="4.875" style="90" customWidth="1"/>
    <col min="15623" max="15864" width="8.875" style="90"/>
    <col min="15865" max="15865" width="9" style="90" customWidth="1"/>
    <col min="15866" max="15866" width="15.625" style="90" customWidth="1"/>
    <col min="15867" max="15867" width="7.5" style="90" customWidth="1"/>
    <col min="15868" max="15868" width="7.625" style="90" customWidth="1"/>
    <col min="15869" max="15869" width="6.5" style="90" bestFit="1" customWidth="1"/>
    <col min="15870" max="15870" width="7.5" style="90" bestFit="1" customWidth="1"/>
    <col min="15871" max="15872" width="8.875" style="90"/>
    <col min="15873" max="15873" width="5.5" style="90" customWidth="1"/>
    <col min="15874" max="15874" width="8.875" style="90"/>
    <col min="15875" max="15875" width="64.375" style="90" customWidth="1"/>
    <col min="15876" max="15876" width="8.125" style="90" customWidth="1"/>
    <col min="15877" max="15877" width="0" style="90" hidden="1" customWidth="1"/>
    <col min="15878" max="15878" width="4.875" style="90" customWidth="1"/>
    <col min="15879" max="16120" width="8.875" style="90"/>
    <col min="16121" max="16121" width="9" style="90" customWidth="1"/>
    <col min="16122" max="16122" width="15.625" style="90" customWidth="1"/>
    <col min="16123" max="16123" width="7.5" style="90" customWidth="1"/>
    <col min="16124" max="16124" width="7.625" style="90" customWidth="1"/>
    <col min="16125" max="16125" width="6.5" style="90" bestFit="1" customWidth="1"/>
    <col min="16126" max="16126" width="7.5" style="90" bestFit="1" customWidth="1"/>
    <col min="16127" max="16128" width="8.875" style="90"/>
    <col min="16129" max="16129" width="5.5" style="90" customWidth="1"/>
    <col min="16130" max="16130" width="8.875" style="90"/>
    <col min="16131" max="16131" width="64.375" style="90" customWidth="1"/>
    <col min="16132" max="16132" width="8.125" style="90" customWidth="1"/>
    <col min="16133" max="16133" width="0" style="90" hidden="1" customWidth="1"/>
    <col min="16134" max="16134" width="4.875" style="90" customWidth="1"/>
    <col min="16135" max="16384" width="8.875" style="90"/>
  </cols>
  <sheetData>
    <row r="1" spans="1:21">
      <c r="B1" s="199" t="s">
        <v>68</v>
      </c>
      <c r="C1" s="193" t="s">
        <v>69</v>
      </c>
      <c r="D1" s="193"/>
      <c r="E1" s="193"/>
      <c r="F1" s="193"/>
      <c r="G1" s="193"/>
      <c r="H1" s="193"/>
      <c r="I1" s="193"/>
      <c r="J1" s="193"/>
      <c r="K1" s="193"/>
      <c r="L1" s="193"/>
      <c r="M1" s="193"/>
      <c r="N1" s="134"/>
      <c r="O1" s="134"/>
      <c r="P1" s="134"/>
      <c r="Q1" s="134"/>
      <c r="R1" s="127"/>
      <c r="S1" s="194" t="s">
        <v>76</v>
      </c>
      <c r="T1" s="194"/>
      <c r="U1" s="194"/>
    </row>
    <row r="2" spans="1:21">
      <c r="B2" s="199"/>
      <c r="C2" s="135">
        <f>ФЕ!D1</f>
        <v>2024</v>
      </c>
      <c r="D2" s="135">
        <f>ФЕ!E1</f>
        <v>2025</v>
      </c>
      <c r="E2" s="135">
        <f>ФЕ!F1</f>
        <v>2026</v>
      </c>
      <c r="F2" s="135">
        <f>ФЕ!G1</f>
        <v>2027</v>
      </c>
      <c r="G2" s="135">
        <f>ФЕ!H1</f>
        <v>2028</v>
      </c>
      <c r="H2" s="135">
        <f>ФЕ!I1</f>
        <v>2029</v>
      </c>
      <c r="I2" s="135">
        <f>ФЕ!J1</f>
        <v>2030</v>
      </c>
      <c r="J2" s="135">
        <f>ФЕ!K1</f>
        <v>2031</v>
      </c>
      <c r="K2" s="135">
        <f>ФЕ!L1</f>
        <v>2032</v>
      </c>
      <c r="L2" s="135">
        <f>ФЕ!M1</f>
        <v>2033</v>
      </c>
      <c r="M2" s="135">
        <f>ФЕ!N1</f>
        <v>2034</v>
      </c>
      <c r="N2" s="135">
        <f>ФЕ!O1</f>
        <v>2035</v>
      </c>
      <c r="O2" s="135">
        <f>ФЕ!P1</f>
        <v>2036</v>
      </c>
      <c r="P2" s="135">
        <f>ФЕ!Q1</f>
        <v>2037</v>
      </c>
      <c r="Q2" s="135">
        <f>ФЕ!R1</f>
        <v>2038</v>
      </c>
      <c r="R2" s="127"/>
      <c r="S2" s="127"/>
      <c r="T2" s="127"/>
      <c r="U2" s="127"/>
    </row>
    <row r="3" spans="1:21" ht="26.25" customHeight="1">
      <c r="A3"/>
      <c r="B3" s="136" t="s">
        <v>288</v>
      </c>
      <c r="C3" s="137">
        <f>PE_materials!D10</f>
        <v>1360.59</v>
      </c>
      <c r="D3" s="137">
        <f>PE_materials!E10</f>
        <v>1405.25</v>
      </c>
      <c r="E3" s="137">
        <f>PE_materials!F10</f>
        <v>1686.3</v>
      </c>
      <c r="F3" s="137">
        <f>PE_materials!G10</f>
        <v>1686.3</v>
      </c>
      <c r="G3" s="137">
        <f>PE_materials!H10</f>
        <v>1686.3</v>
      </c>
      <c r="H3" s="137">
        <f>PE_materials!I10</f>
        <v>1686.3</v>
      </c>
      <c r="I3" s="137">
        <f>PE_materials!J10</f>
        <v>1686.3</v>
      </c>
      <c r="J3" s="137">
        <f>PE_materials!K10</f>
        <v>1686.3</v>
      </c>
      <c r="K3" s="137">
        <f>PE_materials!L10</f>
        <v>1686.3</v>
      </c>
      <c r="L3" s="137">
        <f>PE_materials!M10</f>
        <v>1686.3</v>
      </c>
      <c r="M3" s="137">
        <f>PE_materials!N10</f>
        <v>1686.3</v>
      </c>
      <c r="N3" s="137">
        <f>PE_materials!O10</f>
        <v>1686.3</v>
      </c>
      <c r="O3" s="137">
        <f>PE_materials!P10</f>
        <v>1686.3</v>
      </c>
      <c r="P3" s="137">
        <f>PE_materials!Q10</f>
        <v>1686.3</v>
      </c>
      <c r="Q3" s="137">
        <f>PE_materials!R10</f>
        <v>1686.3</v>
      </c>
      <c r="R3" s="127"/>
      <c r="S3" s="138" t="s">
        <v>87</v>
      </c>
      <c r="T3" s="138" t="s">
        <v>88</v>
      </c>
      <c r="U3" s="139">
        <f>LN(2)/U4</f>
        <v>0.23104906018664842</v>
      </c>
    </row>
    <row r="4" spans="1:21" ht="25.5" customHeight="1">
      <c r="A4"/>
      <c r="B4" s="140" t="s">
        <v>289</v>
      </c>
      <c r="C4" s="137">
        <f t="shared" ref="C4:Q4" si="0">C3*$U$7</f>
        <v>680.29499999999996</v>
      </c>
      <c r="D4" s="137">
        <f t="shared" si="0"/>
        <v>702.625</v>
      </c>
      <c r="E4" s="137">
        <f t="shared" si="0"/>
        <v>843.15</v>
      </c>
      <c r="F4" s="137">
        <f t="shared" si="0"/>
        <v>843.15</v>
      </c>
      <c r="G4" s="137">
        <f t="shared" si="0"/>
        <v>843.15</v>
      </c>
      <c r="H4" s="137">
        <f t="shared" si="0"/>
        <v>843.15</v>
      </c>
      <c r="I4" s="137">
        <f t="shared" si="0"/>
        <v>843.15</v>
      </c>
      <c r="J4" s="137">
        <f t="shared" si="0"/>
        <v>843.15</v>
      </c>
      <c r="K4" s="137">
        <f t="shared" si="0"/>
        <v>843.15</v>
      </c>
      <c r="L4" s="137">
        <f t="shared" si="0"/>
        <v>843.15</v>
      </c>
      <c r="M4" s="137">
        <f t="shared" si="0"/>
        <v>843.15</v>
      </c>
      <c r="N4" s="137">
        <f t="shared" si="0"/>
        <v>843.15</v>
      </c>
      <c r="O4" s="137">
        <f t="shared" si="0"/>
        <v>843.15</v>
      </c>
      <c r="P4" s="137">
        <f t="shared" si="0"/>
        <v>843.15</v>
      </c>
      <c r="Q4" s="137">
        <f t="shared" si="0"/>
        <v>843.15</v>
      </c>
      <c r="R4" s="127"/>
      <c r="S4" s="141" t="s">
        <v>241</v>
      </c>
      <c r="T4" s="138" t="s">
        <v>242</v>
      </c>
      <c r="U4" s="139">
        <v>3</v>
      </c>
    </row>
    <row r="5" spans="1:21" ht="31.5" customHeight="1">
      <c r="A5"/>
      <c r="B5" s="142" t="s">
        <v>317</v>
      </c>
      <c r="C5" s="137">
        <f>C4</f>
        <v>680.29499999999996</v>
      </c>
      <c r="D5" s="137">
        <f t="shared" ref="D5:Q5" si="1">C5+D4</f>
        <v>1382.92</v>
      </c>
      <c r="E5" s="137">
        <f t="shared" si="1"/>
        <v>2226.0700000000002</v>
      </c>
      <c r="F5" s="137">
        <f t="shared" si="1"/>
        <v>3069.2200000000003</v>
      </c>
      <c r="G5" s="137">
        <f t="shared" si="1"/>
        <v>3912.3700000000003</v>
      </c>
      <c r="H5" s="137">
        <f t="shared" si="1"/>
        <v>4755.5200000000004</v>
      </c>
      <c r="I5" s="137">
        <f t="shared" si="1"/>
        <v>5598.67</v>
      </c>
      <c r="J5" s="137">
        <f t="shared" si="1"/>
        <v>6441.82</v>
      </c>
      <c r="K5" s="137">
        <f t="shared" si="1"/>
        <v>7284.9699999999993</v>
      </c>
      <c r="L5" s="137">
        <f t="shared" si="1"/>
        <v>8128.119999999999</v>
      </c>
      <c r="M5" s="137">
        <f t="shared" si="1"/>
        <v>8971.2699999999986</v>
      </c>
      <c r="N5" s="137">
        <f t="shared" si="1"/>
        <v>9814.4199999999983</v>
      </c>
      <c r="O5" s="137">
        <f t="shared" si="1"/>
        <v>10657.569999999998</v>
      </c>
      <c r="P5" s="137">
        <f t="shared" si="1"/>
        <v>11500.719999999998</v>
      </c>
      <c r="Q5" s="137">
        <f t="shared" si="1"/>
        <v>12343.869999999997</v>
      </c>
      <c r="R5" s="127"/>
      <c r="S5" s="197" t="s">
        <v>91</v>
      </c>
      <c r="T5" s="138" t="s">
        <v>92</v>
      </c>
      <c r="U5" s="139">
        <f>EXP(-U3)</f>
        <v>0.79370052598409979</v>
      </c>
    </row>
    <row r="6" spans="1:21" ht="32.25" customHeight="1">
      <c r="A6"/>
      <c r="B6" s="143" t="s">
        <v>290</v>
      </c>
      <c r="C6" s="126">
        <f t="shared" ref="C6:Q6" si="2">C5*-44/12</f>
        <v>-2494.415</v>
      </c>
      <c r="D6" s="126">
        <f t="shared" si="2"/>
        <v>-5070.7066666666669</v>
      </c>
      <c r="E6" s="126">
        <f t="shared" si="2"/>
        <v>-8162.2566666666671</v>
      </c>
      <c r="F6" s="126">
        <f t="shared" si="2"/>
        <v>-11253.806666666669</v>
      </c>
      <c r="G6" s="126">
        <f t="shared" si="2"/>
        <v>-14345.356666666668</v>
      </c>
      <c r="H6" s="126">
        <f t="shared" si="2"/>
        <v>-17436.906666666666</v>
      </c>
      <c r="I6" s="126">
        <f t="shared" si="2"/>
        <v>-20528.456666666669</v>
      </c>
      <c r="J6" s="126">
        <f t="shared" si="2"/>
        <v>-23620.006666666664</v>
      </c>
      <c r="K6" s="126">
        <f t="shared" si="2"/>
        <v>-26711.556666666667</v>
      </c>
      <c r="L6" s="126">
        <f t="shared" si="2"/>
        <v>-29803.106666666663</v>
      </c>
      <c r="M6" s="126">
        <f t="shared" si="2"/>
        <v>-32894.656666666662</v>
      </c>
      <c r="N6" s="126">
        <f t="shared" si="2"/>
        <v>-35986.206666666658</v>
      </c>
      <c r="O6" s="126">
        <f t="shared" si="2"/>
        <v>-39077.756666666661</v>
      </c>
      <c r="P6" s="126">
        <f t="shared" si="2"/>
        <v>-42169.306666666656</v>
      </c>
      <c r="Q6" s="126">
        <f t="shared" si="2"/>
        <v>-45260.856666666659</v>
      </c>
      <c r="R6" s="127"/>
      <c r="S6" s="198"/>
      <c r="T6" s="138" t="s">
        <v>93</v>
      </c>
      <c r="U6" s="139">
        <f>(1-U5)/U3</f>
        <v>0.89288168430222248</v>
      </c>
    </row>
    <row r="7" spans="1:21">
      <c r="B7" s="127"/>
      <c r="C7" s="144"/>
      <c r="D7" s="144"/>
      <c r="E7" s="144"/>
      <c r="F7" s="144"/>
      <c r="G7" s="144"/>
      <c r="H7" s="144"/>
      <c r="I7" s="144"/>
      <c r="J7" s="144"/>
      <c r="K7" s="144"/>
      <c r="L7" s="144"/>
      <c r="M7" s="144"/>
      <c r="N7" s="144"/>
      <c r="O7" s="144"/>
      <c r="P7" s="144"/>
      <c r="Q7" s="144"/>
      <c r="R7" s="127"/>
      <c r="S7" s="145" t="s">
        <v>238</v>
      </c>
      <c r="T7" s="145" t="s">
        <v>295</v>
      </c>
      <c r="U7" s="146">
        <v>0.5</v>
      </c>
    </row>
    <row r="8" spans="1:21" ht="15.75" thickBot="1"/>
    <row r="9" spans="1:21" ht="17.25" thickBot="1">
      <c r="B9" s="171" t="s">
        <v>285</v>
      </c>
      <c r="C9" s="170">
        <f>'BE_chippedwood,y'!C9-'PE_chippedwood,y'!Q6</f>
        <v>32342.319856962218</v>
      </c>
      <c r="D9" s="147"/>
      <c r="E9" s="147"/>
      <c r="F9" s="147"/>
      <c r="G9" s="147"/>
      <c r="H9" s="147"/>
      <c r="I9" s="147"/>
      <c r="J9" s="147"/>
      <c r="K9" s="147"/>
      <c r="L9" s="147"/>
      <c r="M9" s="147"/>
      <c r="N9" s="147"/>
      <c r="O9" s="147"/>
      <c r="P9" s="147"/>
      <c r="Q9" s="147"/>
    </row>
    <row r="10" spans="1:21" ht="47.25" customHeight="1" thickBot="1">
      <c r="N10" s="169"/>
      <c r="O10" s="169"/>
      <c r="P10" s="169"/>
      <c r="R10" s="149"/>
    </row>
    <row r="11" spans="1:21" ht="28.5" customHeight="1">
      <c r="B11" s="150" t="s">
        <v>291</v>
      </c>
      <c r="C11" s="151">
        <f>'BE_chippedwood,y'!C6</f>
        <v>-2227.2174665487282</v>
      </c>
      <c r="D11" s="151">
        <f>'BE_chippedwood,y'!D6</f>
        <v>-4068.067317267813</v>
      </c>
      <c r="E11" s="151">
        <f>'BE_chippedwood,y'!E6</f>
        <v>-5989.2155405587246</v>
      </c>
      <c r="F11" s="151">
        <f>'BE_chippedwood,y'!F6</f>
        <v>-7514.0318958781399</v>
      </c>
      <c r="G11" s="151">
        <f>'BE_chippedwood,y'!G6</f>
        <v>-8724.2794391243169</v>
      </c>
      <c r="H11" s="151">
        <f>'BE_chippedwood,y'!H6</f>
        <v>-9684.8535507697725</v>
      </c>
      <c r="I11" s="151">
        <f>'BE_chippedwood,y'!I6</f>
        <v>-10447.261728429481</v>
      </c>
      <c r="J11" s="151">
        <f>'BE_chippedwood,y'!J6</f>
        <v>-11052.385500052573</v>
      </c>
      <c r="K11" s="151">
        <f>'BE_chippedwood,y'!K6</f>
        <v>-11532.672555875301</v>
      </c>
      <c r="L11" s="151">
        <f>'BE_chippedwood,y'!L6</f>
        <v>-11913.876644705155</v>
      </c>
      <c r="M11" s="151">
        <f>'BE_chippedwood,y'!M6</f>
        <v>-12216.4385305167</v>
      </c>
      <c r="N11" s="151">
        <f>'BE_chippedwood,y'!N6</f>
        <v>-12456.582058428061</v>
      </c>
      <c r="O11" s="151">
        <f>'BE_chippedwood,y'!O6</f>
        <v>-12647.18410284299</v>
      </c>
      <c r="P11" s="151">
        <f>'BE_chippedwood,y'!P6</f>
        <v>-12798.465045748761</v>
      </c>
      <c r="Q11" s="152">
        <f>'BE_chippedwood,y'!Q6</f>
        <v>-12918.536809704443</v>
      </c>
    </row>
    <row r="12" spans="1:21">
      <c r="B12" s="153" t="s">
        <v>292</v>
      </c>
      <c r="C12" s="114">
        <f t="shared" ref="C12:Q12" si="3">C6</f>
        <v>-2494.415</v>
      </c>
      <c r="D12" s="114">
        <f t="shared" si="3"/>
        <v>-5070.7066666666669</v>
      </c>
      <c r="E12" s="114">
        <f t="shared" si="3"/>
        <v>-8162.2566666666671</v>
      </c>
      <c r="F12" s="114">
        <f t="shared" si="3"/>
        <v>-11253.806666666669</v>
      </c>
      <c r="G12" s="114">
        <f t="shared" si="3"/>
        <v>-14345.356666666668</v>
      </c>
      <c r="H12" s="114">
        <f t="shared" si="3"/>
        <v>-17436.906666666666</v>
      </c>
      <c r="I12" s="114">
        <f t="shared" si="3"/>
        <v>-20528.456666666669</v>
      </c>
      <c r="J12" s="114">
        <f t="shared" si="3"/>
        <v>-23620.006666666664</v>
      </c>
      <c r="K12" s="114">
        <f t="shared" si="3"/>
        <v>-26711.556666666667</v>
      </c>
      <c r="L12" s="114">
        <f t="shared" si="3"/>
        <v>-29803.106666666663</v>
      </c>
      <c r="M12" s="114">
        <f t="shared" si="3"/>
        <v>-32894.656666666662</v>
      </c>
      <c r="N12" s="114">
        <f t="shared" si="3"/>
        <v>-35986.206666666658</v>
      </c>
      <c r="O12" s="114">
        <f t="shared" si="3"/>
        <v>-39077.756666666661</v>
      </c>
      <c r="P12" s="114">
        <f t="shared" si="3"/>
        <v>-42169.306666666656</v>
      </c>
      <c r="Q12" s="154">
        <f t="shared" si="3"/>
        <v>-45260.856666666659</v>
      </c>
    </row>
    <row r="13" spans="1:21" ht="15.75" thickBot="1">
      <c r="B13" s="155" t="s">
        <v>129</v>
      </c>
      <c r="C13" s="156">
        <f t="shared" ref="C13:Q13" si="4">C12-C11</f>
        <v>-267.19753345127174</v>
      </c>
      <c r="D13" s="156">
        <f t="shared" si="4"/>
        <v>-1002.6393493988539</v>
      </c>
      <c r="E13" s="156">
        <f t="shared" si="4"/>
        <v>-2173.0411261079425</v>
      </c>
      <c r="F13" s="156">
        <f t="shared" si="4"/>
        <v>-3739.7747707885292</v>
      </c>
      <c r="G13" s="156">
        <f t="shared" si="4"/>
        <v>-5621.0772275423515</v>
      </c>
      <c r="H13" s="156">
        <f t="shared" si="4"/>
        <v>-7752.0531158968934</v>
      </c>
      <c r="I13" s="156">
        <f t="shared" si="4"/>
        <v>-10081.194938237188</v>
      </c>
      <c r="J13" s="156">
        <f t="shared" si="4"/>
        <v>-12567.621166614092</v>
      </c>
      <c r="K13" s="156">
        <f t="shared" si="4"/>
        <v>-15178.884110791367</v>
      </c>
      <c r="L13" s="156">
        <f t="shared" si="4"/>
        <v>-17889.230021961506</v>
      </c>
      <c r="M13" s="156">
        <f t="shared" si="4"/>
        <v>-20678.218136149961</v>
      </c>
      <c r="N13" s="156">
        <f t="shared" si="4"/>
        <v>-23529.624608238599</v>
      </c>
      <c r="O13" s="156">
        <f t="shared" si="4"/>
        <v>-26430.572563823669</v>
      </c>
      <c r="P13" s="156">
        <f t="shared" si="4"/>
        <v>-29370.841620917898</v>
      </c>
      <c r="Q13" s="157">
        <f t="shared" si="4"/>
        <v>-32342.319856962218</v>
      </c>
    </row>
    <row r="15" spans="1:21">
      <c r="R15" s="114"/>
    </row>
    <row r="18" spans="17:17">
      <c r="Q18" s="114"/>
    </row>
  </sheetData>
  <mergeCells count="4">
    <mergeCell ref="S5:S6"/>
    <mergeCell ref="S1:U1"/>
    <mergeCell ref="B1:B2"/>
    <mergeCell ref="C1:M1"/>
  </mergeCells>
  <pageMargins left="0.7" right="0.7" top="0.75" bottom="0.75" header="0.3" footer="0.3"/>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52BD71-E291-4E97-9D7E-2EA5298060C1}">
  <dimension ref="A1:X46"/>
  <sheetViews>
    <sheetView zoomScaleNormal="100" workbookViewId="0">
      <selection activeCell="D16" sqref="D16"/>
    </sheetView>
  </sheetViews>
  <sheetFormatPr defaultColWidth="9" defaultRowHeight="15"/>
  <cols>
    <col min="1" max="1" width="9" style="90"/>
    <col min="2" max="2" width="53" style="91" customWidth="1"/>
    <col min="3" max="3" width="12.875" style="90" customWidth="1"/>
    <col min="4" max="20" width="9" style="90"/>
    <col min="21" max="21" width="11.125" style="90" bestFit="1" customWidth="1"/>
    <col min="22" max="22" width="42.625" style="90" customWidth="1"/>
    <col min="23" max="23" width="11.5" style="90" bestFit="1" customWidth="1"/>
    <col min="24" max="16384" width="9" style="90"/>
  </cols>
  <sheetData>
    <row r="1" spans="1:24" ht="30">
      <c r="C1" s="92" t="s">
        <v>178</v>
      </c>
      <c r="D1" s="93">
        <v>2024</v>
      </c>
      <c r="E1" s="93">
        <f t="shared" ref="E1:R1" si="0">D1+1</f>
        <v>2025</v>
      </c>
      <c r="F1" s="93">
        <f t="shared" si="0"/>
        <v>2026</v>
      </c>
      <c r="G1" s="93">
        <f t="shared" si="0"/>
        <v>2027</v>
      </c>
      <c r="H1" s="93">
        <f t="shared" si="0"/>
        <v>2028</v>
      </c>
      <c r="I1" s="93">
        <f t="shared" si="0"/>
        <v>2029</v>
      </c>
      <c r="J1" s="93">
        <f t="shared" si="0"/>
        <v>2030</v>
      </c>
      <c r="K1" s="93">
        <f t="shared" si="0"/>
        <v>2031</v>
      </c>
      <c r="L1" s="93">
        <f t="shared" si="0"/>
        <v>2032</v>
      </c>
      <c r="M1" s="93">
        <f t="shared" si="0"/>
        <v>2033</v>
      </c>
      <c r="N1" s="93">
        <f t="shared" si="0"/>
        <v>2034</v>
      </c>
      <c r="O1" s="93">
        <f t="shared" si="0"/>
        <v>2035</v>
      </c>
      <c r="P1" s="93">
        <f t="shared" si="0"/>
        <v>2036</v>
      </c>
      <c r="Q1" s="93">
        <f t="shared" si="0"/>
        <v>2037</v>
      </c>
      <c r="R1" s="93">
        <f t="shared" si="0"/>
        <v>2038</v>
      </c>
      <c r="U1" s="94" t="s">
        <v>224</v>
      </c>
      <c r="V1" s="94" t="s">
        <v>220</v>
      </c>
      <c r="W1" s="94" t="s">
        <v>222</v>
      </c>
      <c r="X1" s="94" t="s">
        <v>223</v>
      </c>
    </row>
    <row r="2" spans="1:24" s="111" customFormat="1" ht="30">
      <c r="A2" s="94"/>
      <c r="B2" s="95" t="s">
        <v>148</v>
      </c>
      <c r="C2" s="109" t="s">
        <v>215</v>
      </c>
      <c r="D2" s="176">
        <f t="shared" ref="D2:R2" si="1">$X$6*$X$2+$X$7</f>
        <v>3.1895149999999997</v>
      </c>
      <c r="E2" s="176">
        <f t="shared" si="1"/>
        <v>3.1895149999999997</v>
      </c>
      <c r="F2" s="176">
        <f t="shared" si="1"/>
        <v>3.1895149999999997</v>
      </c>
      <c r="G2" s="176">
        <f t="shared" si="1"/>
        <v>3.1895149999999997</v>
      </c>
      <c r="H2" s="176">
        <f t="shared" si="1"/>
        <v>3.1895149999999997</v>
      </c>
      <c r="I2" s="176">
        <f t="shared" si="1"/>
        <v>3.1895149999999997</v>
      </c>
      <c r="J2" s="176">
        <f t="shared" si="1"/>
        <v>3.1895149999999997</v>
      </c>
      <c r="K2" s="176">
        <f t="shared" si="1"/>
        <v>3.1895149999999997</v>
      </c>
      <c r="L2" s="176">
        <f t="shared" si="1"/>
        <v>3.1895149999999997</v>
      </c>
      <c r="M2" s="176">
        <f t="shared" si="1"/>
        <v>3.1895149999999997</v>
      </c>
      <c r="N2" s="176">
        <f t="shared" si="1"/>
        <v>3.1895149999999997</v>
      </c>
      <c r="O2" s="176">
        <f t="shared" si="1"/>
        <v>3.1895149999999997</v>
      </c>
      <c r="P2" s="176">
        <f t="shared" si="1"/>
        <v>3.1895149999999997</v>
      </c>
      <c r="Q2" s="176">
        <f t="shared" si="1"/>
        <v>3.1895149999999997</v>
      </c>
      <c r="R2" s="176">
        <f t="shared" si="1"/>
        <v>3.1895149999999997</v>
      </c>
      <c r="U2" s="96" t="s">
        <v>225</v>
      </c>
      <c r="V2" s="100" t="s">
        <v>221</v>
      </c>
      <c r="W2" s="110" t="s">
        <v>230</v>
      </c>
      <c r="X2" s="110">
        <f>(X3-X4)*X5</f>
        <v>5112.8999999999996</v>
      </c>
    </row>
    <row r="3" spans="1:24" s="111" customFormat="1">
      <c r="A3" s="110"/>
      <c r="B3" s="95" t="s">
        <v>147</v>
      </c>
      <c r="C3" s="102"/>
      <c r="U3" s="110"/>
      <c r="V3" s="110" t="s">
        <v>228</v>
      </c>
      <c r="W3" s="110" t="s">
        <v>231</v>
      </c>
      <c r="X3" s="110">
        <v>20</v>
      </c>
    </row>
    <row r="4" spans="1:24" s="111" customFormat="1">
      <c r="A4"/>
      <c r="B4" s="112" t="s">
        <v>149</v>
      </c>
      <c r="C4" s="102"/>
      <c r="U4" s="110"/>
      <c r="V4" s="110" t="s">
        <v>229</v>
      </c>
      <c r="W4" s="110" t="s">
        <v>231</v>
      </c>
      <c r="X4" s="110">
        <v>-4.7</v>
      </c>
    </row>
    <row r="5" spans="1:24" s="111" customFormat="1">
      <c r="A5"/>
      <c r="B5" s="113" t="s">
        <v>151</v>
      </c>
      <c r="C5" s="109" t="s">
        <v>153</v>
      </c>
      <c r="D5" s="110">
        <v>0.81</v>
      </c>
      <c r="E5" s="110">
        <v>0.81</v>
      </c>
      <c r="F5" s="110">
        <v>0.81</v>
      </c>
      <c r="G5" s="110">
        <v>0.81</v>
      </c>
      <c r="H5" s="110">
        <v>0.81</v>
      </c>
      <c r="I5" s="110">
        <v>0.81</v>
      </c>
      <c r="J5" s="110">
        <v>0.81</v>
      </c>
      <c r="K5" s="110">
        <v>0.81</v>
      </c>
      <c r="L5" s="110">
        <v>0.81</v>
      </c>
      <c r="M5" s="110">
        <v>0.81</v>
      </c>
      <c r="N5" s="110">
        <v>0.81</v>
      </c>
      <c r="O5" s="110">
        <v>0.81</v>
      </c>
      <c r="P5" s="110">
        <v>0.81</v>
      </c>
      <c r="Q5" s="110">
        <v>0.81</v>
      </c>
      <c r="R5" s="110">
        <v>0.81</v>
      </c>
      <c r="U5" s="48"/>
      <c r="V5" s="110" t="s">
        <v>235</v>
      </c>
      <c r="W5" s="110" t="s">
        <v>232</v>
      </c>
      <c r="X5" s="110">
        <v>207</v>
      </c>
    </row>
    <row r="6" spans="1:24" s="111" customFormat="1">
      <c r="A6" s="96"/>
      <c r="B6" s="113" t="s">
        <v>152</v>
      </c>
      <c r="C6" s="109" t="s">
        <v>153</v>
      </c>
      <c r="D6" s="110">
        <v>4.7E-2</v>
      </c>
      <c r="E6" s="110">
        <v>4.7E-2</v>
      </c>
      <c r="F6" s="110">
        <v>4.7E-2</v>
      </c>
      <c r="G6" s="110">
        <v>4.7E-2</v>
      </c>
      <c r="H6" s="110">
        <v>4.7E-2</v>
      </c>
      <c r="I6" s="110">
        <v>4.7E-2</v>
      </c>
      <c r="J6" s="110">
        <v>4.7E-2</v>
      </c>
      <c r="K6" s="110">
        <v>4.7E-2</v>
      </c>
      <c r="L6" s="110">
        <v>4.7E-2</v>
      </c>
      <c r="M6" s="110">
        <v>4.7E-2</v>
      </c>
      <c r="N6" s="110">
        <v>4.7E-2</v>
      </c>
      <c r="O6" s="110">
        <v>4.7E-2</v>
      </c>
      <c r="P6" s="110">
        <v>4.7E-2</v>
      </c>
      <c r="Q6" s="110">
        <v>4.7E-2</v>
      </c>
      <c r="R6" s="110">
        <v>4.7E-2</v>
      </c>
      <c r="U6" s="103" t="s">
        <v>226</v>
      </c>
      <c r="V6" s="110" t="s">
        <v>233</v>
      </c>
      <c r="W6" s="110" t="s">
        <v>234</v>
      </c>
      <c r="X6" s="110">
        <v>3.5E-4</v>
      </c>
    </row>
    <row r="7" spans="1:24" s="111" customFormat="1">
      <c r="A7" s="110"/>
      <c r="B7" s="112" t="s">
        <v>150</v>
      </c>
      <c r="C7" s="102"/>
      <c r="U7" s="103" t="s">
        <v>227</v>
      </c>
      <c r="V7" s="110" t="s">
        <v>233</v>
      </c>
      <c r="W7" s="110" t="s">
        <v>234</v>
      </c>
      <c r="X7" s="110">
        <v>1.4</v>
      </c>
    </row>
    <row r="8" spans="1:24" s="111" customFormat="1">
      <c r="A8" s="110"/>
      <c r="B8" s="113" t="s">
        <v>154</v>
      </c>
      <c r="C8" s="109" t="s">
        <v>153</v>
      </c>
      <c r="D8" s="110">
        <v>0.12</v>
      </c>
      <c r="E8" s="110">
        <v>0.12</v>
      </c>
      <c r="F8" s="110">
        <v>0.12</v>
      </c>
      <c r="G8" s="110">
        <v>0.12</v>
      </c>
      <c r="H8" s="110">
        <v>0.12</v>
      </c>
      <c r="I8" s="110">
        <v>0.12</v>
      </c>
      <c r="J8" s="110">
        <v>0.12</v>
      </c>
      <c r="K8" s="110">
        <v>0.12</v>
      </c>
      <c r="L8" s="110">
        <v>0.12</v>
      </c>
      <c r="M8" s="110">
        <v>0.12</v>
      </c>
      <c r="N8" s="110">
        <v>0.12</v>
      </c>
      <c r="O8" s="110">
        <v>0.12</v>
      </c>
      <c r="P8" s="110">
        <v>0.12</v>
      </c>
      <c r="Q8" s="110">
        <v>0.12</v>
      </c>
      <c r="R8" s="110">
        <v>0.12</v>
      </c>
    </row>
    <row r="9" spans="1:24" s="111" customFormat="1" ht="30">
      <c r="A9" s="94"/>
      <c r="B9" s="95" t="s">
        <v>216</v>
      </c>
      <c r="C9" s="109" t="s">
        <v>182</v>
      </c>
      <c r="D9" s="110">
        <f>PE_materials!D2</f>
        <v>5301</v>
      </c>
      <c r="E9" s="110">
        <f>PE_materials!E2</f>
        <v>5475</v>
      </c>
      <c r="F9" s="110">
        <f>PE_materials!F2</f>
        <v>6570</v>
      </c>
      <c r="G9" s="110">
        <f>PE_materials!G2</f>
        <v>6570</v>
      </c>
      <c r="H9" s="110">
        <f>PE_materials!H2</f>
        <v>6570</v>
      </c>
      <c r="I9" s="110">
        <f>PE_materials!I2</f>
        <v>6570</v>
      </c>
      <c r="J9" s="110">
        <f>PE_materials!J2</f>
        <v>6570</v>
      </c>
      <c r="K9" s="110">
        <f>PE_materials!K2</f>
        <v>6570</v>
      </c>
      <c r="L9" s="110">
        <f>PE_materials!L2</f>
        <v>6570</v>
      </c>
      <c r="M9" s="110">
        <f>PE_materials!M2</f>
        <v>6570</v>
      </c>
      <c r="N9" s="110">
        <f>PE_materials!N2</f>
        <v>6570</v>
      </c>
      <c r="O9" s="110">
        <f>PE_materials!O2</f>
        <v>6570</v>
      </c>
      <c r="P9" s="110">
        <f>PE_materials!P2</f>
        <v>6570</v>
      </c>
      <c r="Q9" s="110">
        <f>PE_materials!Q2</f>
        <v>6570</v>
      </c>
      <c r="R9" s="110">
        <f>PE_materials!R2</f>
        <v>6570</v>
      </c>
    </row>
    <row r="10" spans="1:24" s="111" customFormat="1">
      <c r="A10" s="94"/>
      <c r="B10" s="95" t="s">
        <v>155</v>
      </c>
      <c r="C10" s="109" t="s">
        <v>157</v>
      </c>
      <c r="D10" s="176">
        <f t="shared" ref="D10:R10" si="2">ROUND(D2*D8,2)</f>
        <v>0.38</v>
      </c>
      <c r="E10" s="176">
        <f t="shared" si="2"/>
        <v>0.38</v>
      </c>
      <c r="F10" s="176">
        <f t="shared" si="2"/>
        <v>0.38</v>
      </c>
      <c r="G10" s="176">
        <f t="shared" si="2"/>
        <v>0.38</v>
      </c>
      <c r="H10" s="176">
        <f t="shared" si="2"/>
        <v>0.38</v>
      </c>
      <c r="I10" s="176">
        <f t="shared" si="2"/>
        <v>0.38</v>
      </c>
      <c r="J10" s="176">
        <f t="shared" si="2"/>
        <v>0.38</v>
      </c>
      <c r="K10" s="176">
        <f t="shared" si="2"/>
        <v>0.38</v>
      </c>
      <c r="L10" s="176">
        <f t="shared" si="2"/>
        <v>0.38</v>
      </c>
      <c r="M10" s="176">
        <f t="shared" si="2"/>
        <v>0.38</v>
      </c>
      <c r="N10" s="176">
        <f t="shared" si="2"/>
        <v>0.38</v>
      </c>
      <c r="O10" s="176">
        <f t="shared" si="2"/>
        <v>0.38</v>
      </c>
      <c r="P10" s="176">
        <f t="shared" si="2"/>
        <v>0.38</v>
      </c>
      <c r="Q10" s="176">
        <f t="shared" si="2"/>
        <v>0.38</v>
      </c>
      <c r="R10" s="176">
        <f t="shared" si="2"/>
        <v>0.38</v>
      </c>
    </row>
    <row r="11" spans="1:24" s="111" customFormat="1" ht="30">
      <c r="A11" s="94"/>
      <c r="B11" s="95" t="s">
        <v>156</v>
      </c>
      <c r="C11" s="109" t="s">
        <v>217</v>
      </c>
      <c r="D11" s="99">
        <f t="shared" ref="D11:R11" si="3">D9/D10</f>
        <v>13950</v>
      </c>
      <c r="E11" s="99">
        <f t="shared" si="3"/>
        <v>14407.894736842105</v>
      </c>
      <c r="F11" s="99">
        <f t="shared" si="3"/>
        <v>17289.473684210527</v>
      </c>
      <c r="G11" s="99">
        <f t="shared" si="3"/>
        <v>17289.473684210527</v>
      </c>
      <c r="H11" s="99">
        <f t="shared" si="3"/>
        <v>17289.473684210527</v>
      </c>
      <c r="I11" s="99">
        <f t="shared" si="3"/>
        <v>17289.473684210527</v>
      </c>
      <c r="J11" s="99">
        <f t="shared" si="3"/>
        <v>17289.473684210527</v>
      </c>
      <c r="K11" s="99">
        <f t="shared" si="3"/>
        <v>17289.473684210527</v>
      </c>
      <c r="L11" s="99">
        <f t="shared" si="3"/>
        <v>17289.473684210527</v>
      </c>
      <c r="M11" s="99">
        <f t="shared" si="3"/>
        <v>17289.473684210527</v>
      </c>
      <c r="N11" s="99">
        <f t="shared" si="3"/>
        <v>17289.473684210527</v>
      </c>
      <c r="O11" s="99">
        <f t="shared" si="3"/>
        <v>17289.473684210527</v>
      </c>
      <c r="P11" s="99">
        <f t="shared" si="3"/>
        <v>17289.473684210527</v>
      </c>
      <c r="Q11" s="99">
        <f t="shared" si="3"/>
        <v>17289.473684210527</v>
      </c>
      <c r="R11" s="99">
        <f t="shared" si="3"/>
        <v>17289.473684210527</v>
      </c>
    </row>
    <row r="12" spans="1:24">
      <c r="A12" s="94"/>
      <c r="B12" s="95" t="s">
        <v>158</v>
      </c>
      <c r="C12" s="102"/>
    </row>
    <row r="13" spans="1:24">
      <c r="A13" s="94"/>
      <c r="B13" s="113" t="s">
        <v>151</v>
      </c>
      <c r="C13" s="109" t="s">
        <v>157</v>
      </c>
      <c r="D13" s="94">
        <v>0.38</v>
      </c>
      <c r="E13" s="94">
        <v>0.38</v>
      </c>
      <c r="F13" s="94">
        <v>0.38</v>
      </c>
      <c r="G13" s="94">
        <v>0.38</v>
      </c>
      <c r="H13" s="94">
        <v>0.38</v>
      </c>
      <c r="I13" s="94">
        <v>0.38</v>
      </c>
      <c r="J13" s="94">
        <v>0.38</v>
      </c>
      <c r="K13" s="94">
        <v>0.38</v>
      </c>
      <c r="L13" s="94">
        <v>0.38</v>
      </c>
      <c r="M13" s="94">
        <v>0.38</v>
      </c>
      <c r="N13" s="94">
        <v>0.38</v>
      </c>
      <c r="O13" s="94">
        <v>0.38</v>
      </c>
      <c r="P13" s="94">
        <v>0.38</v>
      </c>
      <c r="Q13" s="94">
        <v>0.38</v>
      </c>
      <c r="R13" s="94">
        <v>0.38</v>
      </c>
    </row>
    <row r="14" spans="1:24">
      <c r="A14" s="94"/>
      <c r="B14" s="113" t="s">
        <v>152</v>
      </c>
      <c r="C14" s="109" t="s">
        <v>157</v>
      </c>
      <c r="D14" s="94">
        <f t="shared" ref="D14:R14" si="4">ROUND(D16*D6,2)</f>
        <v>0.13</v>
      </c>
      <c r="E14" s="94">
        <f t="shared" si="4"/>
        <v>0.13</v>
      </c>
      <c r="F14" s="94">
        <f t="shared" si="4"/>
        <v>0.13</v>
      </c>
      <c r="G14" s="94">
        <f t="shared" si="4"/>
        <v>0.13</v>
      </c>
      <c r="H14" s="94">
        <f t="shared" si="4"/>
        <v>0.13</v>
      </c>
      <c r="I14" s="94">
        <f t="shared" si="4"/>
        <v>0.13</v>
      </c>
      <c r="J14" s="94">
        <f t="shared" si="4"/>
        <v>0.13</v>
      </c>
      <c r="K14" s="94">
        <f t="shared" si="4"/>
        <v>0.13</v>
      </c>
      <c r="L14" s="94">
        <f t="shared" si="4"/>
        <v>0.13</v>
      </c>
      <c r="M14" s="94">
        <f t="shared" si="4"/>
        <v>0.13</v>
      </c>
      <c r="N14" s="94">
        <f t="shared" si="4"/>
        <v>0.13</v>
      </c>
      <c r="O14" s="94">
        <f t="shared" si="4"/>
        <v>0.13</v>
      </c>
      <c r="P14" s="94">
        <f t="shared" si="4"/>
        <v>0.13</v>
      </c>
      <c r="Q14" s="94">
        <f t="shared" si="4"/>
        <v>0.13</v>
      </c>
      <c r="R14" s="94">
        <f t="shared" si="4"/>
        <v>0.13</v>
      </c>
    </row>
    <row r="15" spans="1:24" ht="30">
      <c r="A15" s="94"/>
      <c r="B15" s="95" t="s">
        <v>159</v>
      </c>
      <c r="C15" s="109" t="s">
        <v>215</v>
      </c>
      <c r="D15" s="104">
        <f t="shared" ref="D15:R15" si="5">D13/D5</f>
        <v>0.46913580246913578</v>
      </c>
      <c r="E15" s="104">
        <f t="shared" si="5"/>
        <v>0.46913580246913578</v>
      </c>
      <c r="F15" s="104">
        <f t="shared" si="5"/>
        <v>0.46913580246913578</v>
      </c>
      <c r="G15" s="104">
        <f t="shared" si="5"/>
        <v>0.46913580246913578</v>
      </c>
      <c r="H15" s="104">
        <f t="shared" si="5"/>
        <v>0.46913580246913578</v>
      </c>
      <c r="I15" s="104">
        <f t="shared" si="5"/>
        <v>0.46913580246913578</v>
      </c>
      <c r="J15" s="104">
        <f t="shared" si="5"/>
        <v>0.46913580246913578</v>
      </c>
      <c r="K15" s="104">
        <f t="shared" si="5"/>
        <v>0.46913580246913578</v>
      </c>
      <c r="L15" s="104">
        <f t="shared" si="5"/>
        <v>0.46913580246913578</v>
      </c>
      <c r="M15" s="104">
        <f t="shared" si="5"/>
        <v>0.46913580246913578</v>
      </c>
      <c r="N15" s="104">
        <f t="shared" si="5"/>
        <v>0.46913580246913578</v>
      </c>
      <c r="O15" s="104">
        <f t="shared" si="5"/>
        <v>0.46913580246913578</v>
      </c>
      <c r="P15" s="104">
        <f t="shared" si="5"/>
        <v>0.46913580246913578</v>
      </c>
      <c r="Q15" s="104">
        <f t="shared" si="5"/>
        <v>0.46913580246913578</v>
      </c>
      <c r="R15" s="104">
        <f t="shared" si="5"/>
        <v>0.46913580246913578</v>
      </c>
    </row>
    <row r="16" spans="1:24" ht="30">
      <c r="A16" s="94"/>
      <c r="B16" s="95" t="s">
        <v>160</v>
      </c>
      <c r="C16" s="109" t="s">
        <v>215</v>
      </c>
      <c r="D16" s="104">
        <f t="shared" ref="D16:R16" si="6">D2-D15</f>
        <v>2.720379197530864</v>
      </c>
      <c r="E16" s="104">
        <f t="shared" si="6"/>
        <v>2.720379197530864</v>
      </c>
      <c r="F16" s="104">
        <f t="shared" si="6"/>
        <v>2.720379197530864</v>
      </c>
      <c r="G16" s="104">
        <f t="shared" si="6"/>
        <v>2.720379197530864</v>
      </c>
      <c r="H16" s="104">
        <f t="shared" si="6"/>
        <v>2.720379197530864</v>
      </c>
      <c r="I16" s="104">
        <f t="shared" si="6"/>
        <v>2.720379197530864</v>
      </c>
      <c r="J16" s="104">
        <f t="shared" si="6"/>
        <v>2.720379197530864</v>
      </c>
      <c r="K16" s="104">
        <f t="shared" si="6"/>
        <v>2.720379197530864</v>
      </c>
      <c r="L16" s="104">
        <f t="shared" si="6"/>
        <v>2.720379197530864</v>
      </c>
      <c r="M16" s="104">
        <f t="shared" si="6"/>
        <v>2.720379197530864</v>
      </c>
      <c r="N16" s="104">
        <f t="shared" si="6"/>
        <v>2.720379197530864</v>
      </c>
      <c r="O16" s="104">
        <f t="shared" si="6"/>
        <v>2.720379197530864</v>
      </c>
      <c r="P16" s="104">
        <f t="shared" si="6"/>
        <v>2.720379197530864</v>
      </c>
      <c r="Q16" s="104">
        <f t="shared" si="6"/>
        <v>2.720379197530864</v>
      </c>
      <c r="R16" s="104">
        <f t="shared" si="6"/>
        <v>2.720379197530864</v>
      </c>
    </row>
    <row r="17" spans="1:18" ht="30">
      <c r="A17" s="94"/>
      <c r="B17" s="95" t="s">
        <v>218</v>
      </c>
      <c r="C17" s="102"/>
    </row>
    <row r="18" spans="1:18" ht="18">
      <c r="B18" s="113" t="s">
        <v>151</v>
      </c>
      <c r="C18" s="109" t="s">
        <v>182</v>
      </c>
      <c r="D18" s="97">
        <f t="shared" ref="D18:R18" si="7">D11*D13</f>
        <v>5301</v>
      </c>
      <c r="E18" s="97">
        <f t="shared" si="7"/>
        <v>5475</v>
      </c>
      <c r="F18" s="97">
        <f t="shared" si="7"/>
        <v>6570</v>
      </c>
      <c r="G18" s="97">
        <f t="shared" si="7"/>
        <v>6570</v>
      </c>
      <c r="H18" s="97">
        <f t="shared" si="7"/>
        <v>6570</v>
      </c>
      <c r="I18" s="97">
        <f t="shared" si="7"/>
        <v>6570</v>
      </c>
      <c r="J18" s="97">
        <f t="shared" si="7"/>
        <v>6570</v>
      </c>
      <c r="K18" s="97">
        <f t="shared" si="7"/>
        <v>6570</v>
      </c>
      <c r="L18" s="97">
        <f t="shared" si="7"/>
        <v>6570</v>
      </c>
      <c r="M18" s="97">
        <f t="shared" si="7"/>
        <v>6570</v>
      </c>
      <c r="N18" s="97">
        <f t="shared" si="7"/>
        <v>6570</v>
      </c>
      <c r="O18" s="97">
        <f t="shared" si="7"/>
        <v>6570</v>
      </c>
      <c r="P18" s="97">
        <f t="shared" si="7"/>
        <v>6570</v>
      </c>
      <c r="Q18" s="97">
        <f t="shared" si="7"/>
        <v>6570</v>
      </c>
      <c r="R18" s="97">
        <f t="shared" si="7"/>
        <v>6570</v>
      </c>
    </row>
    <row r="19" spans="1:18" ht="18">
      <c r="A19" s="94"/>
      <c r="B19" s="113" t="s">
        <v>152</v>
      </c>
      <c r="C19" s="109" t="s">
        <v>182</v>
      </c>
      <c r="D19" s="97">
        <f t="shared" ref="D19:R19" si="8">D11*D14</f>
        <v>1813.5</v>
      </c>
      <c r="E19" s="97">
        <f t="shared" si="8"/>
        <v>1873.0263157894738</v>
      </c>
      <c r="F19" s="97">
        <f t="shared" si="8"/>
        <v>2247.6315789473683</v>
      </c>
      <c r="G19" s="97">
        <f t="shared" si="8"/>
        <v>2247.6315789473683</v>
      </c>
      <c r="H19" s="97">
        <f t="shared" si="8"/>
        <v>2247.6315789473683</v>
      </c>
      <c r="I19" s="97">
        <f t="shared" si="8"/>
        <v>2247.6315789473683</v>
      </c>
      <c r="J19" s="97">
        <f t="shared" si="8"/>
        <v>2247.6315789473683</v>
      </c>
      <c r="K19" s="97">
        <f t="shared" si="8"/>
        <v>2247.6315789473683</v>
      </c>
      <c r="L19" s="97">
        <f t="shared" si="8"/>
        <v>2247.6315789473683</v>
      </c>
      <c r="M19" s="97">
        <f t="shared" si="8"/>
        <v>2247.6315789473683</v>
      </c>
      <c r="N19" s="97">
        <f t="shared" si="8"/>
        <v>2247.6315789473683</v>
      </c>
      <c r="O19" s="97">
        <f t="shared" si="8"/>
        <v>2247.6315789473683</v>
      </c>
      <c r="P19" s="97">
        <f t="shared" si="8"/>
        <v>2247.6315789473683</v>
      </c>
      <c r="Q19" s="97">
        <f t="shared" si="8"/>
        <v>2247.6315789473683</v>
      </c>
      <c r="R19" s="97">
        <f t="shared" si="8"/>
        <v>2247.6315789473683</v>
      </c>
    </row>
    <row r="20" spans="1:18">
      <c r="C20" s="102"/>
    </row>
    <row r="21" spans="1:18">
      <c r="C21" s="102"/>
    </row>
    <row r="22" spans="1:18">
      <c r="B22" s="90"/>
      <c r="C22" s="102"/>
    </row>
    <row r="23" spans="1:18">
      <c r="C23" s="102"/>
    </row>
    <row r="24" spans="1:18">
      <c r="C24" s="102"/>
      <c r="D24" s="177"/>
    </row>
    <row r="25" spans="1:18">
      <c r="C25" s="102"/>
    </row>
    <row r="26" spans="1:18">
      <c r="C26" s="102"/>
    </row>
    <row r="27" spans="1:18">
      <c r="C27" s="102"/>
    </row>
    <row r="28" spans="1:18">
      <c r="C28" s="102"/>
    </row>
    <row r="29" spans="1:18">
      <c r="C29" s="102"/>
    </row>
    <row r="30" spans="1:18">
      <c r="C30" s="102"/>
    </row>
    <row r="31" spans="1:18">
      <c r="C31" s="102"/>
    </row>
    <row r="32" spans="1:18">
      <c r="C32" s="102"/>
    </row>
    <row r="33" spans="3:3">
      <c r="C33" s="102"/>
    </row>
    <row r="34" spans="3:3">
      <c r="C34" s="102"/>
    </row>
    <row r="35" spans="3:3">
      <c r="C35" s="102"/>
    </row>
    <row r="36" spans="3:3">
      <c r="C36" s="102"/>
    </row>
    <row r="37" spans="3:3">
      <c r="C37" s="102"/>
    </row>
    <row r="38" spans="3:3">
      <c r="C38" s="102"/>
    </row>
    <row r="39" spans="3:3">
      <c r="C39" s="102"/>
    </row>
    <row r="40" spans="3:3">
      <c r="C40" s="102"/>
    </row>
    <row r="41" spans="3:3">
      <c r="C41" s="102"/>
    </row>
    <row r="42" spans="3:3">
      <c r="C42" s="102"/>
    </row>
    <row r="43" spans="3:3">
      <c r="C43" s="102"/>
    </row>
    <row r="44" spans="3:3">
      <c r="C44" s="102"/>
    </row>
    <row r="45" spans="3:3">
      <c r="C45" s="102"/>
    </row>
    <row r="46" spans="3:3">
      <c r="C46" s="102"/>
    </row>
  </sheetData>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2C992-80BF-4031-8324-27B63EA63DDC}">
  <dimension ref="A1:Y51"/>
  <sheetViews>
    <sheetView topLeftCell="A25" zoomScaleNormal="100" workbookViewId="0">
      <selection activeCell="D30" sqref="D30"/>
    </sheetView>
  </sheetViews>
  <sheetFormatPr defaultColWidth="9" defaultRowHeight="15"/>
  <cols>
    <col min="1" max="1" width="19" style="90" customWidth="1"/>
    <col min="2" max="2" width="62.125" style="106" customWidth="1"/>
    <col min="3" max="3" width="13.25" style="102" customWidth="1"/>
    <col min="4" max="4" width="9.375" style="90" bestFit="1" customWidth="1"/>
    <col min="5" max="21" width="9" style="90"/>
    <col min="22" max="22" width="60.5" style="90" customWidth="1"/>
    <col min="23" max="24" width="9" style="90"/>
    <col min="25" max="25" width="12.625" style="90" bestFit="1" customWidth="1"/>
    <col min="26" max="16384" width="9" style="90"/>
  </cols>
  <sheetData>
    <row r="1" spans="1:25" ht="30">
      <c r="A1" s="94"/>
      <c r="B1" s="100"/>
      <c r="C1" s="101" t="s">
        <v>219</v>
      </c>
      <c r="D1" s="96">
        <v>2024</v>
      </c>
      <c r="E1" s="96">
        <f t="shared" ref="E1:R1" si="0">D1+1</f>
        <v>2025</v>
      </c>
      <c r="F1" s="96">
        <f t="shared" si="0"/>
        <v>2026</v>
      </c>
      <c r="G1" s="96">
        <f t="shared" si="0"/>
        <v>2027</v>
      </c>
      <c r="H1" s="96">
        <f t="shared" si="0"/>
        <v>2028</v>
      </c>
      <c r="I1" s="96">
        <f t="shared" si="0"/>
        <v>2029</v>
      </c>
      <c r="J1" s="96">
        <f t="shared" si="0"/>
        <v>2030</v>
      </c>
      <c r="K1" s="96">
        <f t="shared" si="0"/>
        <v>2031</v>
      </c>
      <c r="L1" s="96">
        <f t="shared" si="0"/>
        <v>2032</v>
      </c>
      <c r="M1" s="96">
        <f t="shared" si="0"/>
        <v>2033</v>
      </c>
      <c r="N1" s="96">
        <f t="shared" si="0"/>
        <v>2034</v>
      </c>
      <c r="O1" s="96">
        <f t="shared" si="0"/>
        <v>2035</v>
      </c>
      <c r="P1" s="96">
        <f t="shared" si="0"/>
        <v>2036</v>
      </c>
      <c r="Q1" s="96">
        <f t="shared" si="0"/>
        <v>2037</v>
      </c>
      <c r="R1" s="96">
        <f t="shared" si="0"/>
        <v>2038</v>
      </c>
      <c r="V1" s="115" t="s">
        <v>243</v>
      </c>
      <c r="W1" s="116"/>
      <c r="X1" s="116"/>
      <c r="Y1" s="94" t="s">
        <v>246</v>
      </c>
    </row>
    <row r="2" spans="1:25" ht="30">
      <c r="A2"/>
      <c r="B2" s="100" t="s">
        <v>195</v>
      </c>
      <c r="C2" s="96" t="s">
        <v>182</v>
      </c>
      <c r="D2" s="94">
        <f>ФЕ!D18</f>
        <v>5301</v>
      </c>
      <c r="E2" s="94">
        <f>ФЕ!E18</f>
        <v>5475</v>
      </c>
      <c r="F2" s="94">
        <f>ФЕ!F18</f>
        <v>6570</v>
      </c>
      <c r="G2" s="94">
        <f>ФЕ!G18</f>
        <v>6570</v>
      </c>
      <c r="H2" s="94">
        <f>ФЕ!H18</f>
        <v>6570</v>
      </c>
      <c r="I2" s="94">
        <f>ФЕ!I18</f>
        <v>6570</v>
      </c>
      <c r="J2" s="94">
        <f>ФЕ!J18</f>
        <v>6570</v>
      </c>
      <c r="K2" s="94">
        <f>ФЕ!K18</f>
        <v>6570</v>
      </c>
      <c r="L2" s="94">
        <f>ФЕ!L18</f>
        <v>6570</v>
      </c>
      <c r="M2" s="94">
        <f>ФЕ!M18</f>
        <v>6570</v>
      </c>
      <c r="N2" s="94">
        <f>ФЕ!N18</f>
        <v>6570</v>
      </c>
      <c r="O2" s="94">
        <f>ФЕ!O18</f>
        <v>6570</v>
      </c>
      <c r="P2" s="94">
        <f>ФЕ!P18</f>
        <v>6570</v>
      </c>
      <c r="Q2" s="94">
        <f>ФЕ!Q18</f>
        <v>6570</v>
      </c>
      <c r="R2" s="94">
        <f>ФЕ!R18</f>
        <v>6570</v>
      </c>
      <c r="V2" s="117" t="s">
        <v>279</v>
      </c>
      <c r="W2" s="94">
        <v>2100</v>
      </c>
      <c r="X2" s="94" t="s">
        <v>244</v>
      </c>
      <c r="Y2" s="94" t="s">
        <v>299</v>
      </c>
    </row>
    <row r="3" spans="1:25" ht="30">
      <c r="A3"/>
      <c r="B3" s="95" t="s">
        <v>163</v>
      </c>
      <c r="C3" s="96" t="s">
        <v>183</v>
      </c>
      <c r="D3" s="94">
        <v>1850</v>
      </c>
      <c r="E3" s="94">
        <v>1850</v>
      </c>
      <c r="F3" s="94">
        <v>1850</v>
      </c>
      <c r="G3" s="94">
        <v>1850</v>
      </c>
      <c r="H3" s="94">
        <v>1850</v>
      </c>
      <c r="I3" s="94">
        <v>1850</v>
      </c>
      <c r="J3" s="94">
        <v>1850</v>
      </c>
      <c r="K3" s="94">
        <v>1850</v>
      </c>
      <c r="L3" s="94">
        <v>1850</v>
      </c>
      <c r="M3" s="94">
        <v>1850</v>
      </c>
      <c r="N3" s="94">
        <v>1850</v>
      </c>
      <c r="O3" s="94">
        <v>1850</v>
      </c>
      <c r="P3" s="94">
        <v>1850</v>
      </c>
      <c r="Q3" s="94">
        <v>1850</v>
      </c>
      <c r="R3" s="94">
        <v>1850</v>
      </c>
      <c r="V3" s="117" t="s">
        <v>278</v>
      </c>
      <c r="W3" s="94">
        <v>600</v>
      </c>
      <c r="X3" s="94" t="s">
        <v>277</v>
      </c>
      <c r="Y3" s="94" t="s">
        <v>299</v>
      </c>
    </row>
    <row r="4" spans="1:25" ht="30">
      <c r="A4"/>
      <c r="B4" s="100" t="s">
        <v>195</v>
      </c>
      <c r="C4" s="96" t="s">
        <v>134</v>
      </c>
      <c r="D4" s="97">
        <f t="shared" ref="D4:R4" si="1">D2*D3*0.001</f>
        <v>9806.85</v>
      </c>
      <c r="E4" s="97">
        <f t="shared" si="1"/>
        <v>10128.75</v>
      </c>
      <c r="F4" s="97">
        <f t="shared" si="1"/>
        <v>12154.5</v>
      </c>
      <c r="G4" s="97">
        <f t="shared" si="1"/>
        <v>12154.5</v>
      </c>
      <c r="H4" s="97">
        <f t="shared" si="1"/>
        <v>12154.5</v>
      </c>
      <c r="I4" s="97">
        <f t="shared" si="1"/>
        <v>12154.5</v>
      </c>
      <c r="J4" s="97">
        <f t="shared" si="1"/>
        <v>12154.5</v>
      </c>
      <c r="K4" s="97">
        <f t="shared" si="1"/>
        <v>12154.5</v>
      </c>
      <c r="L4" s="97">
        <f t="shared" si="1"/>
        <v>12154.5</v>
      </c>
      <c r="M4" s="97">
        <f t="shared" si="1"/>
        <v>12154.5</v>
      </c>
      <c r="N4" s="97">
        <f t="shared" si="1"/>
        <v>12154.5</v>
      </c>
      <c r="O4" s="97">
        <f t="shared" si="1"/>
        <v>12154.5</v>
      </c>
      <c r="P4" s="97">
        <f t="shared" si="1"/>
        <v>12154.5</v>
      </c>
      <c r="Q4" s="97">
        <f t="shared" si="1"/>
        <v>12154.5</v>
      </c>
      <c r="R4" s="97">
        <f t="shared" si="1"/>
        <v>12154.5</v>
      </c>
      <c r="V4" s="117" t="s">
        <v>280</v>
      </c>
      <c r="W4" s="94">
        <f>W2/4</f>
        <v>525</v>
      </c>
      <c r="X4" s="94" t="s">
        <v>275</v>
      </c>
      <c r="Y4" s="94" t="s">
        <v>282</v>
      </c>
    </row>
    <row r="5" spans="1:25" ht="18">
      <c r="A5"/>
      <c r="B5" s="100" t="s">
        <v>161</v>
      </c>
      <c r="C5" s="96" t="s">
        <v>162</v>
      </c>
      <c r="D5" s="94">
        <v>2500</v>
      </c>
      <c r="E5" s="94">
        <v>2500</v>
      </c>
      <c r="F5" s="94">
        <v>2500</v>
      </c>
      <c r="G5" s="94">
        <v>2500</v>
      </c>
      <c r="H5" s="94">
        <v>2500</v>
      </c>
      <c r="I5" s="94">
        <v>2500</v>
      </c>
      <c r="J5" s="94">
        <v>2500</v>
      </c>
      <c r="K5" s="94">
        <v>2500</v>
      </c>
      <c r="L5" s="94">
        <v>2500</v>
      </c>
      <c r="M5" s="94">
        <v>2500</v>
      </c>
      <c r="N5" s="94">
        <v>2500</v>
      </c>
      <c r="O5" s="94">
        <v>2500</v>
      </c>
      <c r="P5" s="94">
        <v>2500</v>
      </c>
      <c r="Q5" s="94">
        <v>2500</v>
      </c>
      <c r="R5" s="94">
        <v>2500</v>
      </c>
      <c r="V5" s="117" t="s">
        <v>281</v>
      </c>
      <c r="W5" s="94">
        <f>W3/4</f>
        <v>150</v>
      </c>
      <c r="X5" s="94" t="s">
        <v>276</v>
      </c>
      <c r="Y5" s="94" t="s">
        <v>282</v>
      </c>
    </row>
    <row r="6" spans="1:25" ht="30">
      <c r="A6" s="48"/>
      <c r="B6" s="100" t="s">
        <v>196</v>
      </c>
      <c r="C6" s="96" t="s">
        <v>164</v>
      </c>
      <c r="D6" s="105">
        <f>D5*D4/10^6</f>
        <v>24.517125</v>
      </c>
      <c r="E6" s="105">
        <f t="shared" ref="E6:R6" si="2">E5*E4/10^6</f>
        <v>25.321874999999999</v>
      </c>
      <c r="F6" s="105">
        <f t="shared" si="2"/>
        <v>30.38625</v>
      </c>
      <c r="G6" s="105">
        <f t="shared" si="2"/>
        <v>30.38625</v>
      </c>
      <c r="H6" s="105">
        <f t="shared" si="2"/>
        <v>30.38625</v>
      </c>
      <c r="I6" s="105">
        <f t="shared" si="2"/>
        <v>30.38625</v>
      </c>
      <c r="J6" s="105">
        <f t="shared" si="2"/>
        <v>30.38625</v>
      </c>
      <c r="K6" s="105">
        <f t="shared" si="2"/>
        <v>30.38625</v>
      </c>
      <c r="L6" s="105">
        <f t="shared" si="2"/>
        <v>30.38625</v>
      </c>
      <c r="M6" s="105">
        <f t="shared" si="2"/>
        <v>30.38625</v>
      </c>
      <c r="N6" s="105">
        <f t="shared" si="2"/>
        <v>30.38625</v>
      </c>
      <c r="O6" s="105">
        <f t="shared" si="2"/>
        <v>30.38625</v>
      </c>
      <c r="P6" s="105">
        <f t="shared" si="2"/>
        <v>30.38625</v>
      </c>
      <c r="Q6" s="105">
        <f t="shared" si="2"/>
        <v>30.38625</v>
      </c>
      <c r="R6" s="105">
        <f t="shared" si="2"/>
        <v>30.38625</v>
      </c>
    </row>
    <row r="7" spans="1:25" ht="16.5">
      <c r="A7" s="48"/>
      <c r="B7" s="100" t="s">
        <v>203</v>
      </c>
      <c r="C7" s="96" t="s">
        <v>197</v>
      </c>
      <c r="D7" s="94">
        <v>54.4</v>
      </c>
      <c r="E7" s="94">
        <v>54.4</v>
      </c>
      <c r="F7" s="94">
        <v>54.4</v>
      </c>
      <c r="G7" s="94">
        <v>54.4</v>
      </c>
      <c r="H7" s="94">
        <v>54.4</v>
      </c>
      <c r="I7" s="94">
        <v>54.4</v>
      </c>
      <c r="J7" s="94">
        <v>54.4</v>
      </c>
      <c r="K7" s="94">
        <v>54.4</v>
      </c>
      <c r="L7" s="94">
        <v>54.4</v>
      </c>
      <c r="M7" s="94">
        <v>54.4</v>
      </c>
      <c r="N7" s="94">
        <v>54.4</v>
      </c>
      <c r="O7" s="94">
        <v>54.4</v>
      </c>
      <c r="P7" s="94">
        <v>54.4</v>
      </c>
      <c r="Q7" s="94">
        <v>54.4</v>
      </c>
      <c r="R7" s="94">
        <v>54.4</v>
      </c>
    </row>
    <row r="8" spans="1:25" ht="16.5">
      <c r="A8" s="48"/>
      <c r="B8" s="100" t="s">
        <v>165</v>
      </c>
      <c r="C8" s="96" t="s">
        <v>286</v>
      </c>
      <c r="D8" s="105">
        <f>D6*D7</f>
        <v>1333.7316000000001</v>
      </c>
      <c r="E8" s="105">
        <f t="shared" ref="E8:R8" si="3">E6*E7</f>
        <v>1377.51</v>
      </c>
      <c r="F8" s="105">
        <f t="shared" si="3"/>
        <v>1653.0119999999999</v>
      </c>
      <c r="G8" s="105">
        <f t="shared" si="3"/>
        <v>1653.0119999999999</v>
      </c>
      <c r="H8" s="105">
        <f t="shared" si="3"/>
        <v>1653.0119999999999</v>
      </c>
      <c r="I8" s="105">
        <f t="shared" si="3"/>
        <v>1653.0119999999999</v>
      </c>
      <c r="J8" s="105">
        <f t="shared" si="3"/>
        <v>1653.0119999999999</v>
      </c>
      <c r="K8" s="105">
        <f t="shared" si="3"/>
        <v>1653.0119999999999</v>
      </c>
      <c r="L8" s="105">
        <f t="shared" si="3"/>
        <v>1653.0119999999999</v>
      </c>
      <c r="M8" s="105">
        <f t="shared" si="3"/>
        <v>1653.0119999999999</v>
      </c>
      <c r="N8" s="105">
        <f t="shared" si="3"/>
        <v>1653.0119999999999</v>
      </c>
      <c r="O8" s="105">
        <f t="shared" si="3"/>
        <v>1653.0119999999999</v>
      </c>
      <c r="P8" s="105">
        <f t="shared" si="3"/>
        <v>1653.0119999999999</v>
      </c>
      <c r="Q8" s="105">
        <f t="shared" si="3"/>
        <v>1653.0119999999999</v>
      </c>
      <c r="R8" s="105">
        <f t="shared" si="3"/>
        <v>1653.0119999999999</v>
      </c>
    </row>
    <row r="10" spans="1:25" ht="18.75" customHeight="1">
      <c r="A10" s="48"/>
      <c r="B10" s="100" t="s">
        <v>296</v>
      </c>
      <c r="C10" s="96" t="s">
        <v>297</v>
      </c>
      <c r="D10" s="94">
        <v>75</v>
      </c>
      <c r="E10" s="94">
        <v>75</v>
      </c>
      <c r="F10" s="94">
        <v>75</v>
      </c>
      <c r="G10" s="94">
        <v>75</v>
      </c>
      <c r="H10" s="94">
        <v>75</v>
      </c>
      <c r="I10" s="94">
        <v>75</v>
      </c>
      <c r="J10" s="94">
        <v>75</v>
      </c>
      <c r="K10" s="94">
        <v>75</v>
      </c>
      <c r="L10" s="94">
        <v>75</v>
      </c>
      <c r="M10" s="94">
        <v>75</v>
      </c>
      <c r="N10" s="94">
        <v>75</v>
      </c>
      <c r="O10" s="94">
        <v>75</v>
      </c>
      <c r="P10" s="94">
        <v>75</v>
      </c>
      <c r="Q10" s="94">
        <v>75</v>
      </c>
      <c r="R10" s="94">
        <v>75</v>
      </c>
    </row>
    <row r="11" spans="1:25" ht="30">
      <c r="A11" s="48"/>
      <c r="B11" s="108" t="s">
        <v>211</v>
      </c>
      <c r="C11" s="96" t="s">
        <v>313</v>
      </c>
      <c r="D11" s="105">
        <f>(D10*D4)*0.001</f>
        <v>735.51374999999996</v>
      </c>
      <c r="E11" s="105">
        <f t="shared" ref="E11:R11" si="4">(E10*E4)*0.001</f>
        <v>759.65625</v>
      </c>
      <c r="F11" s="105">
        <f t="shared" si="4"/>
        <v>911.58749999999998</v>
      </c>
      <c r="G11" s="105">
        <f t="shared" si="4"/>
        <v>911.58749999999998</v>
      </c>
      <c r="H11" s="105">
        <f t="shared" si="4"/>
        <v>911.58749999999998</v>
      </c>
      <c r="I11" s="105">
        <f t="shared" si="4"/>
        <v>911.58749999999998</v>
      </c>
      <c r="J11" s="105">
        <f t="shared" si="4"/>
        <v>911.58749999999998</v>
      </c>
      <c r="K11" s="105">
        <f t="shared" si="4"/>
        <v>911.58749999999998</v>
      </c>
      <c r="L11" s="105">
        <f t="shared" si="4"/>
        <v>911.58749999999998</v>
      </c>
      <c r="M11" s="105">
        <f t="shared" si="4"/>
        <v>911.58749999999998</v>
      </c>
      <c r="N11" s="105">
        <f t="shared" si="4"/>
        <v>911.58749999999998</v>
      </c>
      <c r="O11" s="105">
        <f t="shared" si="4"/>
        <v>911.58749999999998</v>
      </c>
      <c r="P11" s="105">
        <f t="shared" si="4"/>
        <v>911.58749999999998</v>
      </c>
      <c r="Q11" s="105">
        <f t="shared" si="4"/>
        <v>911.58749999999998</v>
      </c>
      <c r="R11" s="105">
        <f t="shared" si="4"/>
        <v>911.58749999999998</v>
      </c>
    </row>
    <row r="12" spans="1:25" ht="16.5">
      <c r="A12" s="94"/>
      <c r="B12" s="108" t="s">
        <v>144</v>
      </c>
      <c r="C12" s="96" t="s">
        <v>191</v>
      </c>
      <c r="D12" s="94">
        <v>332.5</v>
      </c>
      <c r="E12" s="94">
        <v>335.6</v>
      </c>
      <c r="F12" s="94">
        <f>AVERAGE(D12:E12)</f>
        <v>334.05</v>
      </c>
      <c r="G12" s="94">
        <f t="shared" ref="G12:R12" si="5">F12</f>
        <v>334.05</v>
      </c>
      <c r="H12" s="94">
        <f t="shared" si="5"/>
        <v>334.05</v>
      </c>
      <c r="I12" s="94">
        <f t="shared" si="5"/>
        <v>334.05</v>
      </c>
      <c r="J12" s="94">
        <f t="shared" si="5"/>
        <v>334.05</v>
      </c>
      <c r="K12" s="94">
        <f t="shared" si="5"/>
        <v>334.05</v>
      </c>
      <c r="L12" s="94">
        <f t="shared" si="5"/>
        <v>334.05</v>
      </c>
      <c r="M12" s="94">
        <f t="shared" si="5"/>
        <v>334.05</v>
      </c>
      <c r="N12" s="94">
        <f t="shared" si="5"/>
        <v>334.05</v>
      </c>
      <c r="O12" s="94">
        <f t="shared" si="5"/>
        <v>334.05</v>
      </c>
      <c r="P12" s="94">
        <f t="shared" si="5"/>
        <v>334.05</v>
      </c>
      <c r="Q12" s="94">
        <f t="shared" si="5"/>
        <v>334.05</v>
      </c>
      <c r="R12" s="94">
        <f t="shared" si="5"/>
        <v>334.05</v>
      </c>
    </row>
    <row r="13" spans="1:25" ht="16.5">
      <c r="A13" s="48"/>
      <c r="B13" s="108" t="s">
        <v>145</v>
      </c>
      <c r="C13" s="96" t="s">
        <v>286</v>
      </c>
      <c r="D13" s="104">
        <f>D11*D12*0.001</f>
        <v>244.55832187499999</v>
      </c>
      <c r="E13" s="104">
        <f t="shared" ref="E13:R13" si="6">E11*E12*0.001</f>
        <v>254.94063750000001</v>
      </c>
      <c r="F13" s="104">
        <f t="shared" si="6"/>
        <v>304.51580437500002</v>
      </c>
      <c r="G13" s="104">
        <f t="shared" si="6"/>
        <v>304.51580437500002</v>
      </c>
      <c r="H13" s="104">
        <f t="shared" si="6"/>
        <v>304.51580437500002</v>
      </c>
      <c r="I13" s="104">
        <f t="shared" si="6"/>
        <v>304.51580437500002</v>
      </c>
      <c r="J13" s="104">
        <f t="shared" si="6"/>
        <v>304.51580437500002</v>
      </c>
      <c r="K13" s="104">
        <f t="shared" si="6"/>
        <v>304.51580437500002</v>
      </c>
      <c r="L13" s="104">
        <f t="shared" si="6"/>
        <v>304.51580437500002</v>
      </c>
      <c r="M13" s="104">
        <f t="shared" si="6"/>
        <v>304.51580437500002</v>
      </c>
      <c r="N13" s="104">
        <f t="shared" si="6"/>
        <v>304.51580437500002</v>
      </c>
      <c r="O13" s="104">
        <f t="shared" si="6"/>
        <v>304.51580437500002</v>
      </c>
      <c r="P13" s="104">
        <f t="shared" si="6"/>
        <v>304.51580437500002</v>
      </c>
      <c r="Q13" s="104">
        <f t="shared" si="6"/>
        <v>304.51580437500002</v>
      </c>
      <c r="R13" s="104">
        <f t="shared" si="6"/>
        <v>304.51580437500002</v>
      </c>
    </row>
    <row r="14" spans="1:25">
      <c r="A14" s="94"/>
    </row>
    <row r="15" spans="1:25" ht="30">
      <c r="A15" s="48"/>
      <c r="B15" s="108" t="s">
        <v>213</v>
      </c>
      <c r="C15" s="96" t="s">
        <v>286</v>
      </c>
      <c r="D15" s="105">
        <f t="shared" ref="D15:R15" si="7">D13+D8</f>
        <v>1578.2899218750001</v>
      </c>
      <c r="E15" s="105">
        <f t="shared" si="7"/>
        <v>1632.4506375000001</v>
      </c>
      <c r="F15" s="105">
        <f t="shared" si="7"/>
        <v>1957.527804375</v>
      </c>
      <c r="G15" s="105">
        <f t="shared" si="7"/>
        <v>1957.527804375</v>
      </c>
      <c r="H15" s="105">
        <f t="shared" si="7"/>
        <v>1957.527804375</v>
      </c>
      <c r="I15" s="105">
        <f t="shared" si="7"/>
        <v>1957.527804375</v>
      </c>
      <c r="J15" s="105">
        <f t="shared" si="7"/>
        <v>1957.527804375</v>
      </c>
      <c r="K15" s="105">
        <f t="shared" si="7"/>
        <v>1957.527804375</v>
      </c>
      <c r="L15" s="105">
        <f t="shared" si="7"/>
        <v>1957.527804375</v>
      </c>
      <c r="M15" s="105">
        <f t="shared" si="7"/>
        <v>1957.527804375</v>
      </c>
      <c r="N15" s="105">
        <f t="shared" si="7"/>
        <v>1957.527804375</v>
      </c>
      <c r="O15" s="105">
        <f t="shared" si="7"/>
        <v>1957.527804375</v>
      </c>
      <c r="P15" s="105">
        <f t="shared" si="7"/>
        <v>1957.527804375</v>
      </c>
      <c r="Q15" s="105">
        <f t="shared" si="7"/>
        <v>1957.527804375</v>
      </c>
      <c r="R15" s="105">
        <f t="shared" si="7"/>
        <v>1957.527804375</v>
      </c>
    </row>
    <row r="16" spans="1:25">
      <c r="A16"/>
      <c r="B16" s="100" t="s">
        <v>284</v>
      </c>
      <c r="C16" s="96" t="s">
        <v>268</v>
      </c>
      <c r="D16" s="105">
        <v>20</v>
      </c>
      <c r="E16" s="105">
        <v>20</v>
      </c>
      <c r="F16" s="105">
        <v>20</v>
      </c>
      <c r="G16" s="105">
        <v>20</v>
      </c>
      <c r="H16" s="105">
        <v>20</v>
      </c>
      <c r="I16" s="105">
        <v>20</v>
      </c>
      <c r="J16" s="105">
        <v>20</v>
      </c>
      <c r="K16" s="105">
        <v>20</v>
      </c>
      <c r="L16" s="105">
        <v>20</v>
      </c>
      <c r="M16" s="105">
        <v>20</v>
      </c>
      <c r="N16" s="105">
        <v>20</v>
      </c>
      <c r="O16" s="105">
        <v>20</v>
      </c>
      <c r="P16" s="105">
        <v>20</v>
      </c>
      <c r="Q16" s="105">
        <v>20</v>
      </c>
      <c r="R16" s="105">
        <v>20</v>
      </c>
    </row>
    <row r="17" spans="1:18" ht="30">
      <c r="A17" s="48"/>
      <c r="B17" s="108" t="s">
        <v>212</v>
      </c>
      <c r="C17" s="96" t="s">
        <v>286</v>
      </c>
      <c r="D17" s="105">
        <f>D15*D16/100</f>
        <v>315.65798437500001</v>
      </c>
      <c r="E17" s="105">
        <f t="shared" ref="E17:R17" si="8">E15*E16/100</f>
        <v>326.49012750000003</v>
      </c>
      <c r="F17" s="105">
        <f t="shared" si="8"/>
        <v>391.50556087500001</v>
      </c>
      <c r="G17" s="105">
        <f t="shared" si="8"/>
        <v>391.50556087500001</v>
      </c>
      <c r="H17" s="105">
        <f t="shared" si="8"/>
        <v>391.50556087500001</v>
      </c>
      <c r="I17" s="105">
        <f t="shared" si="8"/>
        <v>391.50556087500001</v>
      </c>
      <c r="J17" s="105">
        <f t="shared" si="8"/>
        <v>391.50556087500001</v>
      </c>
      <c r="K17" s="105">
        <f t="shared" si="8"/>
        <v>391.50556087500001</v>
      </c>
      <c r="L17" s="105">
        <f t="shared" si="8"/>
        <v>391.50556087500001</v>
      </c>
      <c r="M17" s="105">
        <f t="shared" si="8"/>
        <v>391.50556087500001</v>
      </c>
      <c r="N17" s="105">
        <f t="shared" si="8"/>
        <v>391.50556087500001</v>
      </c>
      <c r="O17" s="105">
        <f t="shared" si="8"/>
        <v>391.50556087500001</v>
      </c>
      <c r="P17" s="105">
        <f t="shared" si="8"/>
        <v>391.50556087500001</v>
      </c>
      <c r="Q17" s="105">
        <f t="shared" si="8"/>
        <v>391.50556087500001</v>
      </c>
      <c r="R17" s="105">
        <f t="shared" si="8"/>
        <v>391.50556087500001</v>
      </c>
    </row>
    <row r="20" spans="1:18" ht="30">
      <c r="A20" s="94"/>
      <c r="B20" s="100"/>
      <c r="C20" s="101" t="s">
        <v>219</v>
      </c>
      <c r="D20" s="96">
        <f t="shared" ref="D20:R20" si="9">D1</f>
        <v>2024</v>
      </c>
      <c r="E20" s="96">
        <f t="shared" si="9"/>
        <v>2025</v>
      </c>
      <c r="F20" s="96">
        <f t="shared" si="9"/>
        <v>2026</v>
      </c>
      <c r="G20" s="96">
        <f t="shared" si="9"/>
        <v>2027</v>
      </c>
      <c r="H20" s="96">
        <f t="shared" si="9"/>
        <v>2028</v>
      </c>
      <c r="I20" s="96">
        <f t="shared" si="9"/>
        <v>2029</v>
      </c>
      <c r="J20" s="96">
        <f t="shared" si="9"/>
        <v>2030</v>
      </c>
      <c r="K20" s="96">
        <f t="shared" si="9"/>
        <v>2031</v>
      </c>
      <c r="L20" s="96">
        <f t="shared" si="9"/>
        <v>2032</v>
      </c>
      <c r="M20" s="96">
        <f t="shared" si="9"/>
        <v>2033</v>
      </c>
      <c r="N20" s="96">
        <f t="shared" si="9"/>
        <v>2034</v>
      </c>
      <c r="O20" s="96">
        <f t="shared" si="9"/>
        <v>2035</v>
      </c>
      <c r="P20" s="96">
        <f t="shared" si="9"/>
        <v>2036</v>
      </c>
      <c r="Q20" s="96">
        <f t="shared" si="9"/>
        <v>2037</v>
      </c>
      <c r="R20" s="96">
        <f t="shared" si="9"/>
        <v>2038</v>
      </c>
    </row>
    <row r="21" spans="1:18" ht="30">
      <c r="A21" s="48"/>
      <c r="B21" s="100" t="s">
        <v>198</v>
      </c>
      <c r="C21" s="96" t="s">
        <v>182</v>
      </c>
      <c r="D21" s="94">
        <f>ФЕ!D19</f>
        <v>1813.5</v>
      </c>
      <c r="E21" s="94">
        <f>ФЕ!E19</f>
        <v>1873.0263157894738</v>
      </c>
      <c r="F21" s="94">
        <f>ФЕ!F19</f>
        <v>2247.6315789473683</v>
      </c>
      <c r="G21" s="94">
        <f>ФЕ!G19</f>
        <v>2247.6315789473683</v>
      </c>
      <c r="H21" s="94">
        <f>ФЕ!H19</f>
        <v>2247.6315789473683</v>
      </c>
      <c r="I21" s="94">
        <f>ФЕ!I19</f>
        <v>2247.6315789473683</v>
      </c>
      <c r="J21" s="94">
        <f>ФЕ!J19</f>
        <v>2247.6315789473683</v>
      </c>
      <c r="K21" s="94">
        <f>ФЕ!K19</f>
        <v>2247.6315789473683</v>
      </c>
      <c r="L21" s="94">
        <f>ФЕ!L19</f>
        <v>2247.6315789473683</v>
      </c>
      <c r="M21" s="94">
        <f>ФЕ!M19</f>
        <v>2247.6315789473683</v>
      </c>
      <c r="N21" s="94">
        <f>ФЕ!N19</f>
        <v>2247.6315789473683</v>
      </c>
      <c r="O21" s="94">
        <f>ФЕ!O19</f>
        <v>2247.6315789473683</v>
      </c>
      <c r="P21" s="94">
        <f>ФЕ!P19</f>
        <v>2247.6315789473683</v>
      </c>
      <c r="Q21" s="94">
        <f>ФЕ!Q19</f>
        <v>2247.6315789473683</v>
      </c>
      <c r="R21" s="94">
        <f>ФЕ!R19</f>
        <v>2247.6315789473683</v>
      </c>
    </row>
    <row r="22" spans="1:18" ht="18">
      <c r="A22" s="48"/>
      <c r="B22" s="95" t="s">
        <v>214</v>
      </c>
      <c r="C22" s="96" t="s">
        <v>183</v>
      </c>
      <c r="D22" s="94">
        <v>80</v>
      </c>
      <c r="E22" s="94">
        <v>80</v>
      </c>
      <c r="F22" s="94">
        <v>80</v>
      </c>
      <c r="G22" s="94">
        <v>80</v>
      </c>
      <c r="H22" s="94">
        <v>80</v>
      </c>
      <c r="I22" s="94">
        <v>80</v>
      </c>
      <c r="J22" s="94">
        <v>80</v>
      </c>
      <c r="K22" s="94">
        <v>80</v>
      </c>
      <c r="L22" s="94">
        <v>80</v>
      </c>
      <c r="M22" s="94">
        <v>80</v>
      </c>
      <c r="N22" s="94">
        <v>80</v>
      </c>
      <c r="O22" s="94">
        <v>80</v>
      </c>
      <c r="P22" s="94">
        <v>80</v>
      </c>
      <c r="Q22" s="94">
        <v>80</v>
      </c>
      <c r="R22" s="94">
        <v>80</v>
      </c>
    </row>
    <row r="23" spans="1:18" ht="30">
      <c r="A23"/>
      <c r="B23" s="100" t="s">
        <v>198</v>
      </c>
      <c r="C23" s="96" t="s">
        <v>134</v>
      </c>
      <c r="D23" s="97">
        <f>D21*D22*0.001</f>
        <v>145.08000000000001</v>
      </c>
      <c r="E23" s="97">
        <f t="shared" ref="E23:R23" si="10">E21*E22*0.001</f>
        <v>149.84210526315789</v>
      </c>
      <c r="F23" s="97">
        <f t="shared" si="10"/>
        <v>179.81052631578947</v>
      </c>
      <c r="G23" s="97">
        <f t="shared" si="10"/>
        <v>179.81052631578947</v>
      </c>
      <c r="H23" s="97">
        <f t="shared" si="10"/>
        <v>179.81052631578947</v>
      </c>
      <c r="I23" s="97">
        <f t="shared" si="10"/>
        <v>179.81052631578947</v>
      </c>
      <c r="J23" s="97">
        <f t="shared" si="10"/>
        <v>179.81052631578947</v>
      </c>
      <c r="K23" s="97">
        <f t="shared" si="10"/>
        <v>179.81052631578947</v>
      </c>
      <c r="L23" s="97">
        <f t="shared" si="10"/>
        <v>179.81052631578947</v>
      </c>
      <c r="M23" s="97">
        <f t="shared" si="10"/>
        <v>179.81052631578947</v>
      </c>
      <c r="N23" s="97">
        <f t="shared" si="10"/>
        <v>179.81052631578947</v>
      </c>
      <c r="O23" s="97">
        <f t="shared" si="10"/>
        <v>179.81052631578947</v>
      </c>
      <c r="P23" s="97">
        <f t="shared" si="10"/>
        <v>179.81052631578947</v>
      </c>
      <c r="Q23" s="97">
        <f t="shared" si="10"/>
        <v>179.81052631578947</v>
      </c>
      <c r="R23" s="97">
        <f t="shared" si="10"/>
        <v>179.81052631578947</v>
      </c>
    </row>
    <row r="24" spans="1:18" ht="18">
      <c r="A24"/>
      <c r="B24" s="100" t="s">
        <v>173</v>
      </c>
      <c r="C24" s="96" t="s">
        <v>199</v>
      </c>
      <c r="D24" s="94">
        <f>W5</f>
        <v>150</v>
      </c>
      <c r="E24" s="94">
        <f t="shared" ref="E24:R24" si="11">D24</f>
        <v>150</v>
      </c>
      <c r="F24" s="94">
        <f t="shared" si="11"/>
        <v>150</v>
      </c>
      <c r="G24" s="94">
        <f t="shared" si="11"/>
        <v>150</v>
      </c>
      <c r="H24" s="94">
        <f t="shared" si="11"/>
        <v>150</v>
      </c>
      <c r="I24" s="94">
        <f t="shared" si="11"/>
        <v>150</v>
      </c>
      <c r="J24" s="94">
        <f t="shared" si="11"/>
        <v>150</v>
      </c>
      <c r="K24" s="94">
        <f t="shared" si="11"/>
        <v>150</v>
      </c>
      <c r="L24" s="94">
        <f t="shared" si="11"/>
        <v>150</v>
      </c>
      <c r="M24" s="94">
        <f t="shared" si="11"/>
        <v>150</v>
      </c>
      <c r="N24" s="94">
        <f t="shared" si="11"/>
        <v>150</v>
      </c>
      <c r="O24" s="94">
        <f t="shared" si="11"/>
        <v>150</v>
      </c>
      <c r="P24" s="94">
        <f t="shared" si="11"/>
        <v>150</v>
      </c>
      <c r="Q24" s="94">
        <f t="shared" si="11"/>
        <v>150</v>
      </c>
      <c r="R24" s="94">
        <f t="shared" si="11"/>
        <v>150</v>
      </c>
    </row>
    <row r="25" spans="1:18" ht="18">
      <c r="A25" s="48"/>
      <c r="B25" s="100" t="s">
        <v>166</v>
      </c>
      <c r="C25" s="96" t="s">
        <v>200</v>
      </c>
      <c r="D25" s="94">
        <v>33.08</v>
      </c>
      <c r="E25" s="94">
        <v>33.08</v>
      </c>
      <c r="F25" s="94">
        <v>33.08</v>
      </c>
      <c r="G25" s="94">
        <v>33.08</v>
      </c>
      <c r="H25" s="94">
        <v>33.08</v>
      </c>
      <c r="I25" s="94">
        <v>33.08</v>
      </c>
      <c r="J25" s="94">
        <v>33.08</v>
      </c>
      <c r="K25" s="94">
        <v>33.08</v>
      </c>
      <c r="L25" s="94">
        <v>33.08</v>
      </c>
      <c r="M25" s="94">
        <v>33.08</v>
      </c>
      <c r="N25" s="94">
        <v>33.08</v>
      </c>
      <c r="O25" s="94">
        <v>33.08</v>
      </c>
      <c r="P25" s="94">
        <v>33.08</v>
      </c>
      <c r="Q25" s="94">
        <v>33.08</v>
      </c>
      <c r="R25" s="94">
        <v>33.08</v>
      </c>
    </row>
    <row r="26" spans="1:18">
      <c r="A26"/>
    </row>
    <row r="27" spans="1:18">
      <c r="A27" s="48"/>
      <c r="B27" s="100" t="s">
        <v>167</v>
      </c>
      <c r="C27" s="96" t="s">
        <v>298</v>
      </c>
      <c r="D27" s="97">
        <v>140</v>
      </c>
      <c r="E27" s="97">
        <v>140</v>
      </c>
      <c r="F27" s="97">
        <v>140</v>
      </c>
      <c r="G27" s="97">
        <v>140</v>
      </c>
      <c r="H27" s="97">
        <v>140</v>
      </c>
      <c r="I27" s="97">
        <v>140</v>
      </c>
      <c r="J27" s="97">
        <v>140</v>
      </c>
      <c r="K27" s="97">
        <v>140</v>
      </c>
      <c r="L27" s="97">
        <v>140</v>
      </c>
      <c r="M27" s="97">
        <v>140</v>
      </c>
      <c r="N27" s="97">
        <v>140</v>
      </c>
      <c r="O27" s="97">
        <v>140</v>
      </c>
      <c r="P27" s="97">
        <v>140</v>
      </c>
      <c r="Q27" s="97">
        <v>140</v>
      </c>
      <c r="R27" s="97">
        <v>140</v>
      </c>
    </row>
    <row r="28" spans="1:18" ht="31.5">
      <c r="A28" s="48"/>
      <c r="B28" s="100" t="s">
        <v>201</v>
      </c>
      <c r="C28" s="96" t="s">
        <v>202</v>
      </c>
      <c r="D28" s="104">
        <v>3.14</v>
      </c>
      <c r="E28" s="104">
        <v>3.14</v>
      </c>
      <c r="F28" s="104">
        <v>3.14</v>
      </c>
      <c r="G28" s="104">
        <v>3.14</v>
      </c>
      <c r="H28" s="104">
        <v>3.14</v>
      </c>
      <c r="I28" s="104">
        <v>3.14</v>
      </c>
      <c r="J28" s="104">
        <v>3.14</v>
      </c>
      <c r="K28" s="104">
        <v>3.14</v>
      </c>
      <c r="L28" s="104">
        <v>3.14</v>
      </c>
      <c r="M28" s="104">
        <v>3.14</v>
      </c>
      <c r="N28" s="104">
        <v>3.14</v>
      </c>
      <c r="O28" s="104">
        <v>3.14</v>
      </c>
      <c r="P28" s="104">
        <v>3.14</v>
      </c>
      <c r="Q28" s="104">
        <v>3.14</v>
      </c>
      <c r="R28" s="104">
        <v>3.14</v>
      </c>
    </row>
    <row r="29" spans="1:18">
      <c r="A29" s="48"/>
      <c r="B29" s="100" t="s">
        <v>168</v>
      </c>
      <c r="C29" s="96" t="s">
        <v>169</v>
      </c>
      <c r="D29" s="104">
        <v>0.99</v>
      </c>
      <c r="E29" s="104">
        <v>0.99</v>
      </c>
      <c r="F29" s="104">
        <v>0.99</v>
      </c>
      <c r="G29" s="104">
        <v>0.99</v>
      </c>
      <c r="H29" s="104">
        <v>0.99</v>
      </c>
      <c r="I29" s="104">
        <v>0.99</v>
      </c>
      <c r="J29" s="104">
        <v>0.99</v>
      </c>
      <c r="K29" s="104">
        <v>0.99</v>
      </c>
      <c r="L29" s="104">
        <v>0.99</v>
      </c>
      <c r="M29" s="104">
        <v>0.99</v>
      </c>
      <c r="N29" s="104">
        <v>0.99</v>
      </c>
      <c r="O29" s="104">
        <v>0.99</v>
      </c>
      <c r="P29" s="104">
        <v>0.99</v>
      </c>
      <c r="Q29" s="104">
        <v>0.99</v>
      </c>
      <c r="R29" s="104">
        <v>0.99</v>
      </c>
    </row>
    <row r="30" spans="1:18" ht="31.5">
      <c r="A30" s="94"/>
      <c r="B30" s="100" t="s">
        <v>201</v>
      </c>
      <c r="C30" s="96" t="s">
        <v>187</v>
      </c>
      <c r="D30" s="104">
        <f t="shared" ref="D30:R30" si="12">D28*D29</f>
        <v>3.1086</v>
      </c>
      <c r="E30" s="104">
        <f t="shared" si="12"/>
        <v>3.1086</v>
      </c>
      <c r="F30" s="104">
        <f t="shared" si="12"/>
        <v>3.1086</v>
      </c>
      <c r="G30" s="104">
        <f t="shared" si="12"/>
        <v>3.1086</v>
      </c>
      <c r="H30" s="104">
        <f t="shared" si="12"/>
        <v>3.1086</v>
      </c>
      <c r="I30" s="104">
        <f t="shared" si="12"/>
        <v>3.1086</v>
      </c>
      <c r="J30" s="104">
        <f t="shared" si="12"/>
        <v>3.1086</v>
      </c>
      <c r="K30" s="104">
        <f t="shared" si="12"/>
        <v>3.1086</v>
      </c>
      <c r="L30" s="104">
        <f t="shared" si="12"/>
        <v>3.1086</v>
      </c>
      <c r="M30" s="104">
        <f t="shared" si="12"/>
        <v>3.1086</v>
      </c>
      <c r="N30" s="104">
        <f t="shared" si="12"/>
        <v>3.1086</v>
      </c>
      <c r="O30" s="104">
        <f t="shared" si="12"/>
        <v>3.1086</v>
      </c>
      <c r="P30" s="104">
        <f t="shared" si="12"/>
        <v>3.1086</v>
      </c>
      <c r="Q30" s="104">
        <f t="shared" si="12"/>
        <v>3.1086</v>
      </c>
      <c r="R30" s="104">
        <f t="shared" si="12"/>
        <v>3.1086</v>
      </c>
    </row>
    <row r="31" spans="1:18" ht="20.25" customHeight="1">
      <c r="A31" s="94"/>
      <c r="B31" s="100" t="s">
        <v>203</v>
      </c>
      <c r="C31" s="96" t="s">
        <v>197</v>
      </c>
      <c r="D31" s="94">
        <v>54.4</v>
      </c>
      <c r="E31" s="94">
        <v>54.4</v>
      </c>
      <c r="F31" s="94">
        <v>54.4</v>
      </c>
      <c r="G31" s="94">
        <v>54.4</v>
      </c>
      <c r="H31" s="94">
        <v>54.4</v>
      </c>
      <c r="I31" s="94">
        <v>54.4</v>
      </c>
      <c r="J31" s="94">
        <v>54.4</v>
      </c>
      <c r="K31" s="94">
        <v>54.4</v>
      </c>
      <c r="L31" s="94">
        <v>54.4</v>
      </c>
      <c r="M31" s="94">
        <v>54.4</v>
      </c>
      <c r="N31" s="94">
        <v>54.4</v>
      </c>
      <c r="O31" s="94">
        <v>54.4</v>
      </c>
      <c r="P31" s="94">
        <v>54.4</v>
      </c>
      <c r="Q31" s="94">
        <v>54.4</v>
      </c>
      <c r="R31" s="94">
        <v>54.4</v>
      </c>
    </row>
    <row r="32" spans="1:18" ht="30">
      <c r="A32" s="94"/>
      <c r="B32" s="100" t="s">
        <v>204</v>
      </c>
      <c r="C32" s="96" t="s">
        <v>164</v>
      </c>
      <c r="D32" s="105">
        <f>D24*D23*D25/10^6</f>
        <v>0.71988696000000008</v>
      </c>
      <c r="E32" s="105">
        <f t="shared" ref="E32:R32" si="13">E24*E23*E25/10^6</f>
        <v>0.74351652631578946</v>
      </c>
      <c r="F32" s="105">
        <f t="shared" si="13"/>
        <v>0.89221983157894724</v>
      </c>
      <c r="G32" s="105">
        <f t="shared" si="13"/>
        <v>0.89221983157894724</v>
      </c>
      <c r="H32" s="105">
        <f t="shared" si="13"/>
        <v>0.89221983157894724</v>
      </c>
      <c r="I32" s="105">
        <f t="shared" si="13"/>
        <v>0.89221983157894724</v>
      </c>
      <c r="J32" s="105">
        <f t="shared" si="13"/>
        <v>0.89221983157894724</v>
      </c>
      <c r="K32" s="105">
        <f t="shared" si="13"/>
        <v>0.89221983157894724</v>
      </c>
      <c r="L32" s="105">
        <f t="shared" si="13"/>
        <v>0.89221983157894724</v>
      </c>
      <c r="M32" s="105">
        <f t="shared" si="13"/>
        <v>0.89221983157894724</v>
      </c>
      <c r="N32" s="105">
        <f t="shared" si="13"/>
        <v>0.89221983157894724</v>
      </c>
      <c r="O32" s="105">
        <f t="shared" si="13"/>
        <v>0.89221983157894724</v>
      </c>
      <c r="P32" s="105">
        <f t="shared" si="13"/>
        <v>0.89221983157894724</v>
      </c>
      <c r="Q32" s="105">
        <f t="shared" si="13"/>
        <v>0.89221983157894724</v>
      </c>
      <c r="R32" s="105">
        <f t="shared" si="13"/>
        <v>0.89221983157894724</v>
      </c>
    </row>
    <row r="33" spans="1:18" ht="30">
      <c r="A33" s="48"/>
      <c r="B33" s="100" t="s">
        <v>205</v>
      </c>
      <c r="C33" s="96" t="s">
        <v>174</v>
      </c>
      <c r="D33" s="105">
        <f>D23*D27*0.001</f>
        <v>20.311199999999999</v>
      </c>
      <c r="E33" s="105">
        <f t="shared" ref="E33:R33" si="14">E23*E27*0.001</f>
        <v>20.977894736842103</v>
      </c>
      <c r="F33" s="105">
        <f t="shared" si="14"/>
        <v>25.173473684210528</v>
      </c>
      <c r="G33" s="105">
        <f t="shared" si="14"/>
        <v>25.173473684210528</v>
      </c>
      <c r="H33" s="105">
        <f t="shared" si="14"/>
        <v>25.173473684210528</v>
      </c>
      <c r="I33" s="105">
        <f t="shared" si="14"/>
        <v>25.173473684210528</v>
      </c>
      <c r="J33" s="105">
        <f t="shared" si="14"/>
        <v>25.173473684210528</v>
      </c>
      <c r="K33" s="105">
        <f t="shared" si="14"/>
        <v>25.173473684210528</v>
      </c>
      <c r="L33" s="105">
        <f t="shared" si="14"/>
        <v>25.173473684210528</v>
      </c>
      <c r="M33" s="105">
        <f t="shared" si="14"/>
        <v>25.173473684210528</v>
      </c>
      <c r="N33" s="105">
        <f t="shared" si="14"/>
        <v>25.173473684210528</v>
      </c>
      <c r="O33" s="105">
        <f t="shared" si="14"/>
        <v>25.173473684210528</v>
      </c>
      <c r="P33" s="105">
        <f t="shared" si="14"/>
        <v>25.173473684210528</v>
      </c>
      <c r="Q33" s="105">
        <f t="shared" si="14"/>
        <v>25.173473684210528</v>
      </c>
      <c r="R33" s="105">
        <f t="shared" si="14"/>
        <v>25.173473684210528</v>
      </c>
    </row>
    <row r="34" spans="1:18" ht="16.5">
      <c r="A34" s="48"/>
      <c r="B34" s="100" t="s">
        <v>170</v>
      </c>
      <c r="C34" s="96" t="s">
        <v>286</v>
      </c>
      <c r="D34" s="105">
        <f>D32*D31</f>
        <v>39.161850624000003</v>
      </c>
      <c r="E34" s="105">
        <f t="shared" ref="E34:R34" si="15">E32*E31</f>
        <v>40.447299031578943</v>
      </c>
      <c r="F34" s="105">
        <f t="shared" si="15"/>
        <v>48.53675883789473</v>
      </c>
      <c r="G34" s="105">
        <f t="shared" si="15"/>
        <v>48.53675883789473</v>
      </c>
      <c r="H34" s="105">
        <f t="shared" si="15"/>
        <v>48.53675883789473</v>
      </c>
      <c r="I34" s="105">
        <f t="shared" si="15"/>
        <v>48.53675883789473</v>
      </c>
      <c r="J34" s="105">
        <f t="shared" si="15"/>
        <v>48.53675883789473</v>
      </c>
      <c r="K34" s="105">
        <f t="shared" si="15"/>
        <v>48.53675883789473</v>
      </c>
      <c r="L34" s="105">
        <f t="shared" si="15"/>
        <v>48.53675883789473</v>
      </c>
      <c r="M34" s="105">
        <f t="shared" si="15"/>
        <v>48.53675883789473</v>
      </c>
      <c r="N34" s="105">
        <f t="shared" si="15"/>
        <v>48.53675883789473</v>
      </c>
      <c r="O34" s="105">
        <f t="shared" si="15"/>
        <v>48.53675883789473</v>
      </c>
      <c r="P34" s="105">
        <f t="shared" si="15"/>
        <v>48.53675883789473</v>
      </c>
      <c r="Q34" s="105">
        <f t="shared" si="15"/>
        <v>48.53675883789473</v>
      </c>
      <c r="R34" s="105">
        <f t="shared" si="15"/>
        <v>48.53675883789473</v>
      </c>
    </row>
    <row r="35" spans="1:18" ht="16.5">
      <c r="A35" s="48"/>
      <c r="B35" s="100" t="s">
        <v>171</v>
      </c>
      <c r="C35" s="96" t="s">
        <v>286</v>
      </c>
      <c r="D35" s="105">
        <f>D30*D33</f>
        <v>63.139396319999996</v>
      </c>
      <c r="E35" s="105">
        <f t="shared" ref="E35:R35" si="16">E30*E33</f>
        <v>65.211883578947365</v>
      </c>
      <c r="F35" s="105">
        <f t="shared" si="16"/>
        <v>78.254260294736852</v>
      </c>
      <c r="G35" s="105">
        <f t="shared" si="16"/>
        <v>78.254260294736852</v>
      </c>
      <c r="H35" s="105">
        <f t="shared" si="16"/>
        <v>78.254260294736852</v>
      </c>
      <c r="I35" s="105">
        <f t="shared" si="16"/>
        <v>78.254260294736852</v>
      </c>
      <c r="J35" s="105">
        <f t="shared" si="16"/>
        <v>78.254260294736852</v>
      </c>
      <c r="K35" s="105">
        <f t="shared" si="16"/>
        <v>78.254260294736852</v>
      </c>
      <c r="L35" s="105">
        <f t="shared" si="16"/>
        <v>78.254260294736852</v>
      </c>
      <c r="M35" s="105">
        <f t="shared" si="16"/>
        <v>78.254260294736852</v>
      </c>
      <c r="N35" s="105">
        <f t="shared" si="16"/>
        <v>78.254260294736852</v>
      </c>
      <c r="O35" s="105">
        <f t="shared" si="16"/>
        <v>78.254260294736852</v>
      </c>
      <c r="P35" s="105">
        <f t="shared" si="16"/>
        <v>78.254260294736852</v>
      </c>
      <c r="Q35" s="105">
        <f t="shared" si="16"/>
        <v>78.254260294736852</v>
      </c>
      <c r="R35" s="105">
        <f t="shared" si="16"/>
        <v>78.254260294736852</v>
      </c>
    </row>
    <row r="36" spans="1:18" ht="30">
      <c r="A36" s="48"/>
      <c r="B36" s="100" t="s">
        <v>175</v>
      </c>
      <c r="C36" s="96" t="s">
        <v>286</v>
      </c>
      <c r="D36" s="105">
        <f>D34+D35</f>
        <v>102.301246944</v>
      </c>
      <c r="E36" s="105">
        <f t="shared" ref="E36:R36" si="17">E34+E35</f>
        <v>105.6591826105263</v>
      </c>
      <c r="F36" s="105">
        <f t="shared" si="17"/>
        <v>126.79101913263159</v>
      </c>
      <c r="G36" s="105">
        <f t="shared" si="17"/>
        <v>126.79101913263159</v>
      </c>
      <c r="H36" s="105">
        <f t="shared" si="17"/>
        <v>126.79101913263159</v>
      </c>
      <c r="I36" s="105">
        <f t="shared" si="17"/>
        <v>126.79101913263159</v>
      </c>
      <c r="J36" s="105">
        <f t="shared" si="17"/>
        <v>126.79101913263159</v>
      </c>
      <c r="K36" s="105">
        <f t="shared" si="17"/>
        <v>126.79101913263159</v>
      </c>
      <c r="L36" s="105">
        <f t="shared" si="17"/>
        <v>126.79101913263159</v>
      </c>
      <c r="M36" s="105">
        <f t="shared" si="17"/>
        <v>126.79101913263159</v>
      </c>
      <c r="N36" s="105">
        <f t="shared" si="17"/>
        <v>126.79101913263159</v>
      </c>
      <c r="O36" s="105">
        <f t="shared" si="17"/>
        <v>126.79101913263159</v>
      </c>
      <c r="P36" s="105">
        <f t="shared" si="17"/>
        <v>126.79101913263159</v>
      </c>
      <c r="Q36" s="105">
        <f t="shared" si="17"/>
        <v>126.79101913263159</v>
      </c>
      <c r="R36" s="105">
        <f t="shared" si="17"/>
        <v>126.79101913263159</v>
      </c>
    </row>
    <row r="38" spans="1:18" ht="30">
      <c r="A38" s="48"/>
      <c r="B38" s="100" t="s">
        <v>206</v>
      </c>
      <c r="C38" s="96" t="s">
        <v>146</v>
      </c>
      <c r="D38" s="105">
        <f t="shared" ref="D38:R38" si="18">($W$4*D23)*0.001</f>
        <v>76.167000000000002</v>
      </c>
      <c r="E38" s="105">
        <f t="shared" si="18"/>
        <v>78.667105263157893</v>
      </c>
      <c r="F38" s="105">
        <f t="shared" si="18"/>
        <v>94.400526315789477</v>
      </c>
      <c r="G38" s="105">
        <f t="shared" si="18"/>
        <v>94.400526315789477</v>
      </c>
      <c r="H38" s="105">
        <f t="shared" si="18"/>
        <v>94.400526315789477</v>
      </c>
      <c r="I38" s="105">
        <f t="shared" si="18"/>
        <v>94.400526315789477</v>
      </c>
      <c r="J38" s="105">
        <f t="shared" si="18"/>
        <v>94.400526315789477</v>
      </c>
      <c r="K38" s="105">
        <f t="shared" si="18"/>
        <v>94.400526315789477</v>
      </c>
      <c r="L38" s="105">
        <f t="shared" si="18"/>
        <v>94.400526315789477</v>
      </c>
      <c r="M38" s="105">
        <f t="shared" si="18"/>
        <v>94.400526315789477</v>
      </c>
      <c r="N38" s="105">
        <f t="shared" si="18"/>
        <v>94.400526315789477</v>
      </c>
      <c r="O38" s="105">
        <f t="shared" si="18"/>
        <v>94.400526315789477</v>
      </c>
      <c r="P38" s="105">
        <f t="shared" si="18"/>
        <v>94.400526315789477</v>
      </c>
      <c r="Q38" s="105">
        <f t="shared" si="18"/>
        <v>94.400526315789477</v>
      </c>
      <c r="R38" s="105">
        <f t="shared" si="18"/>
        <v>94.400526315789477</v>
      </c>
    </row>
    <row r="39" spans="1:18" ht="16.5">
      <c r="A39" s="94"/>
      <c r="B39" s="100" t="s">
        <v>144</v>
      </c>
      <c r="C39" s="96" t="s">
        <v>191</v>
      </c>
      <c r="D39" s="94">
        <v>332.5</v>
      </c>
      <c r="E39" s="94">
        <v>335.6</v>
      </c>
      <c r="F39" s="94">
        <f>AVERAGE(D39:E39)</f>
        <v>334.05</v>
      </c>
      <c r="G39" s="94">
        <f t="shared" ref="G39:R39" si="19">F39</f>
        <v>334.05</v>
      </c>
      <c r="H39" s="94">
        <f t="shared" si="19"/>
        <v>334.05</v>
      </c>
      <c r="I39" s="94">
        <f t="shared" si="19"/>
        <v>334.05</v>
      </c>
      <c r="J39" s="94">
        <f t="shared" si="19"/>
        <v>334.05</v>
      </c>
      <c r="K39" s="94">
        <f t="shared" si="19"/>
        <v>334.05</v>
      </c>
      <c r="L39" s="94">
        <f t="shared" si="19"/>
        <v>334.05</v>
      </c>
      <c r="M39" s="94">
        <f t="shared" si="19"/>
        <v>334.05</v>
      </c>
      <c r="N39" s="94">
        <f t="shared" si="19"/>
        <v>334.05</v>
      </c>
      <c r="O39" s="94">
        <f t="shared" si="19"/>
        <v>334.05</v>
      </c>
      <c r="P39" s="94">
        <f t="shared" si="19"/>
        <v>334.05</v>
      </c>
      <c r="Q39" s="94">
        <f t="shared" si="19"/>
        <v>334.05</v>
      </c>
      <c r="R39" s="94">
        <f t="shared" si="19"/>
        <v>334.05</v>
      </c>
    </row>
    <row r="40" spans="1:18" ht="30">
      <c r="A40" s="48"/>
      <c r="B40" s="100" t="s">
        <v>172</v>
      </c>
      <c r="C40" s="96" t="s">
        <v>286</v>
      </c>
      <c r="D40" s="104">
        <f t="shared" ref="D40:R40" si="20">D38*D39*0.001</f>
        <v>25.3255275</v>
      </c>
      <c r="E40" s="104">
        <f t="shared" si="20"/>
        <v>26.400680526315792</v>
      </c>
      <c r="F40" s="104">
        <f t="shared" si="20"/>
        <v>31.534495815789477</v>
      </c>
      <c r="G40" s="104">
        <f t="shared" si="20"/>
        <v>31.534495815789477</v>
      </c>
      <c r="H40" s="104">
        <f t="shared" si="20"/>
        <v>31.534495815789477</v>
      </c>
      <c r="I40" s="104">
        <f t="shared" si="20"/>
        <v>31.534495815789477</v>
      </c>
      <c r="J40" s="104">
        <f t="shared" si="20"/>
        <v>31.534495815789477</v>
      </c>
      <c r="K40" s="104">
        <f t="shared" si="20"/>
        <v>31.534495815789477</v>
      </c>
      <c r="L40" s="104">
        <f t="shared" si="20"/>
        <v>31.534495815789477</v>
      </c>
      <c r="M40" s="104">
        <f t="shared" si="20"/>
        <v>31.534495815789477</v>
      </c>
      <c r="N40" s="104">
        <f t="shared" si="20"/>
        <v>31.534495815789477</v>
      </c>
      <c r="O40" s="104">
        <f t="shared" si="20"/>
        <v>31.534495815789477</v>
      </c>
      <c r="P40" s="104">
        <f t="shared" si="20"/>
        <v>31.534495815789477</v>
      </c>
      <c r="Q40" s="104">
        <f t="shared" si="20"/>
        <v>31.534495815789477</v>
      </c>
      <c r="R40" s="104">
        <f t="shared" si="20"/>
        <v>31.534495815789477</v>
      </c>
    </row>
    <row r="41" spans="1:18" ht="30">
      <c r="A41" s="48"/>
      <c r="B41" s="108" t="s">
        <v>213</v>
      </c>
      <c r="C41" s="96" t="s">
        <v>286</v>
      </c>
      <c r="D41" s="104">
        <f>D40+D36</f>
        <v>127.62677444400001</v>
      </c>
      <c r="E41" s="104">
        <f t="shared" ref="E41:R41" si="21">E40+E36</f>
        <v>132.0598631368421</v>
      </c>
      <c r="F41" s="104">
        <f t="shared" si="21"/>
        <v>158.32551494842107</v>
      </c>
      <c r="G41" s="104">
        <f t="shared" si="21"/>
        <v>158.32551494842107</v>
      </c>
      <c r="H41" s="104">
        <f t="shared" si="21"/>
        <v>158.32551494842107</v>
      </c>
      <c r="I41" s="104">
        <f t="shared" si="21"/>
        <v>158.32551494842107</v>
      </c>
      <c r="J41" s="104">
        <f t="shared" si="21"/>
        <v>158.32551494842107</v>
      </c>
      <c r="K41" s="104">
        <f t="shared" si="21"/>
        <v>158.32551494842107</v>
      </c>
      <c r="L41" s="104">
        <f t="shared" si="21"/>
        <v>158.32551494842107</v>
      </c>
      <c r="M41" s="104">
        <f t="shared" si="21"/>
        <v>158.32551494842107</v>
      </c>
      <c r="N41" s="104">
        <f t="shared" si="21"/>
        <v>158.32551494842107</v>
      </c>
      <c r="O41" s="104">
        <f t="shared" si="21"/>
        <v>158.32551494842107</v>
      </c>
      <c r="P41" s="104">
        <f t="shared" si="21"/>
        <v>158.32551494842107</v>
      </c>
      <c r="Q41" s="104">
        <f t="shared" si="21"/>
        <v>158.32551494842107</v>
      </c>
      <c r="R41" s="104">
        <f t="shared" si="21"/>
        <v>158.32551494842107</v>
      </c>
    </row>
    <row r="43" spans="1:18">
      <c r="A43" s="48"/>
      <c r="B43" s="100" t="s">
        <v>283</v>
      </c>
      <c r="C43" s="96" t="s">
        <v>268</v>
      </c>
      <c r="D43" s="94">
        <v>15</v>
      </c>
      <c r="E43" s="94">
        <v>15</v>
      </c>
      <c r="F43" s="94">
        <v>15</v>
      </c>
      <c r="G43" s="94">
        <v>15</v>
      </c>
      <c r="H43" s="94">
        <v>15</v>
      </c>
      <c r="I43" s="94">
        <v>15</v>
      </c>
      <c r="J43" s="94">
        <v>15</v>
      </c>
      <c r="K43" s="94">
        <v>15</v>
      </c>
      <c r="L43" s="94">
        <v>15</v>
      </c>
      <c r="M43" s="94">
        <v>15</v>
      </c>
      <c r="N43" s="94">
        <v>15</v>
      </c>
      <c r="O43" s="94">
        <v>15</v>
      </c>
      <c r="P43" s="94">
        <v>15</v>
      </c>
      <c r="Q43" s="94">
        <v>15</v>
      </c>
      <c r="R43" s="94">
        <v>15</v>
      </c>
    </row>
    <row r="44" spans="1:18" ht="30">
      <c r="A44" s="48"/>
      <c r="B44" s="100" t="s">
        <v>207</v>
      </c>
      <c r="C44" s="96" t="s">
        <v>286</v>
      </c>
      <c r="D44" s="105">
        <f>D41*D43/100</f>
        <v>19.1440161666</v>
      </c>
      <c r="E44" s="105">
        <f t="shared" ref="E44:R44" si="22">E41*E43/100</f>
        <v>19.808979470526314</v>
      </c>
      <c r="F44" s="105">
        <f t="shared" si="22"/>
        <v>23.748827242263161</v>
      </c>
      <c r="G44" s="105">
        <f t="shared" si="22"/>
        <v>23.748827242263161</v>
      </c>
      <c r="H44" s="105">
        <f t="shared" si="22"/>
        <v>23.748827242263161</v>
      </c>
      <c r="I44" s="105">
        <f t="shared" si="22"/>
        <v>23.748827242263161</v>
      </c>
      <c r="J44" s="105">
        <f t="shared" si="22"/>
        <v>23.748827242263161</v>
      </c>
      <c r="K44" s="105">
        <f t="shared" si="22"/>
        <v>23.748827242263161</v>
      </c>
      <c r="L44" s="105">
        <f t="shared" si="22"/>
        <v>23.748827242263161</v>
      </c>
      <c r="M44" s="105">
        <f t="shared" si="22"/>
        <v>23.748827242263161</v>
      </c>
      <c r="N44" s="105">
        <f t="shared" si="22"/>
        <v>23.748827242263161</v>
      </c>
      <c r="O44" s="105">
        <f t="shared" si="22"/>
        <v>23.748827242263161</v>
      </c>
      <c r="P44" s="105">
        <f t="shared" si="22"/>
        <v>23.748827242263161</v>
      </c>
      <c r="Q44" s="105">
        <f t="shared" si="22"/>
        <v>23.748827242263161</v>
      </c>
      <c r="R44" s="105">
        <f t="shared" si="22"/>
        <v>23.748827242263161</v>
      </c>
    </row>
    <row r="47" spans="1:18" ht="16.5">
      <c r="A47" s="48"/>
      <c r="B47" s="100" t="s">
        <v>208</v>
      </c>
      <c r="C47" s="96" t="s">
        <v>286</v>
      </c>
      <c r="D47" s="105">
        <f>D15+D17</f>
        <v>1893.9479062500002</v>
      </c>
      <c r="E47" s="105">
        <f t="shared" ref="E47:F47" si="23">E15+E17</f>
        <v>1958.9407650000001</v>
      </c>
      <c r="F47" s="105">
        <f t="shared" si="23"/>
        <v>2349.0333652499999</v>
      </c>
      <c r="G47" s="105">
        <f>G15+G17</f>
        <v>2349.0333652499999</v>
      </c>
      <c r="H47" s="105">
        <f t="shared" ref="H47:R47" si="24">H15+H17</f>
        <v>2349.0333652499999</v>
      </c>
      <c r="I47" s="105">
        <f t="shared" si="24"/>
        <v>2349.0333652499999</v>
      </c>
      <c r="J47" s="105">
        <f t="shared" si="24"/>
        <v>2349.0333652499999</v>
      </c>
      <c r="K47" s="105">
        <f t="shared" si="24"/>
        <v>2349.0333652499999</v>
      </c>
      <c r="L47" s="105">
        <f t="shared" si="24"/>
        <v>2349.0333652499999</v>
      </c>
      <c r="M47" s="105">
        <f t="shared" si="24"/>
        <v>2349.0333652499999</v>
      </c>
      <c r="N47" s="105">
        <f t="shared" si="24"/>
        <v>2349.0333652499999</v>
      </c>
      <c r="O47" s="105">
        <f t="shared" si="24"/>
        <v>2349.0333652499999</v>
      </c>
      <c r="P47" s="105">
        <f t="shared" si="24"/>
        <v>2349.0333652499999</v>
      </c>
      <c r="Q47" s="105">
        <f t="shared" si="24"/>
        <v>2349.0333652499999</v>
      </c>
      <c r="R47" s="105">
        <f t="shared" si="24"/>
        <v>2349.0333652499999</v>
      </c>
    </row>
    <row r="48" spans="1:18" ht="16.5">
      <c r="A48" s="48"/>
      <c r="B48" s="100" t="s">
        <v>209</v>
      </c>
      <c r="C48" s="96" t="s">
        <v>286</v>
      </c>
      <c r="D48" s="105">
        <f>D41+D44</f>
        <v>146.77079061060002</v>
      </c>
      <c r="E48" s="105">
        <f>E41+E44</f>
        <v>151.86884260736841</v>
      </c>
      <c r="F48" s="105">
        <f t="shared" ref="F48:R48" si="25">F41+F44</f>
        <v>182.07434219068423</v>
      </c>
      <c r="G48" s="105">
        <f t="shared" si="25"/>
        <v>182.07434219068423</v>
      </c>
      <c r="H48" s="105">
        <f t="shared" si="25"/>
        <v>182.07434219068423</v>
      </c>
      <c r="I48" s="105">
        <f t="shared" si="25"/>
        <v>182.07434219068423</v>
      </c>
      <c r="J48" s="105">
        <f t="shared" si="25"/>
        <v>182.07434219068423</v>
      </c>
      <c r="K48" s="105">
        <f t="shared" si="25"/>
        <v>182.07434219068423</v>
      </c>
      <c r="L48" s="105">
        <f t="shared" si="25"/>
        <v>182.07434219068423</v>
      </c>
      <c r="M48" s="105">
        <f t="shared" si="25"/>
        <v>182.07434219068423</v>
      </c>
      <c r="N48" s="105">
        <f t="shared" si="25"/>
        <v>182.07434219068423</v>
      </c>
      <c r="O48" s="105">
        <f t="shared" si="25"/>
        <v>182.07434219068423</v>
      </c>
      <c r="P48" s="105">
        <f t="shared" si="25"/>
        <v>182.07434219068423</v>
      </c>
      <c r="Q48" s="105">
        <f t="shared" si="25"/>
        <v>182.07434219068423</v>
      </c>
      <c r="R48" s="105">
        <f t="shared" si="25"/>
        <v>182.07434219068423</v>
      </c>
    </row>
    <row r="49" spans="1:18" ht="30">
      <c r="A49" s="94"/>
      <c r="B49" s="100" t="s">
        <v>210</v>
      </c>
      <c r="C49" s="96" t="s">
        <v>286</v>
      </c>
      <c r="D49" s="105">
        <f>D47+D48+D51</f>
        <v>2132.9036581906003</v>
      </c>
      <c r="E49" s="105">
        <f t="shared" ref="E49" si="26">E47+E48+E51</f>
        <v>2206.8946068740352</v>
      </c>
      <c r="F49" s="105">
        <f t="shared" ref="F49" si="27">F47+F48+F51</f>
        <v>2645.8852110506841</v>
      </c>
      <c r="G49" s="105">
        <f t="shared" ref="G49" si="28">G47+G48+G51</f>
        <v>2645.8852110506841</v>
      </c>
      <c r="H49" s="105">
        <f t="shared" ref="H49" si="29">H47+H48+H51</f>
        <v>2645.8852110506841</v>
      </c>
      <c r="I49" s="105">
        <f t="shared" ref="I49" si="30">I47+I48+I51</f>
        <v>2645.8852110506841</v>
      </c>
      <c r="J49" s="105">
        <f t="shared" ref="J49" si="31">J47+J48+J51</f>
        <v>2645.8852110506841</v>
      </c>
      <c r="K49" s="105">
        <f t="shared" ref="K49" si="32">K47+K48+K51</f>
        <v>2645.8852110506841</v>
      </c>
      <c r="L49" s="105">
        <f t="shared" ref="L49" si="33">L47+L48+L51</f>
        <v>2645.8852110506841</v>
      </c>
      <c r="M49" s="105">
        <f t="shared" ref="M49" si="34">M47+M48+M51</f>
        <v>2645.8852110506841</v>
      </c>
      <c r="N49" s="105">
        <f t="shared" ref="N49" si="35">N47+N48+N51</f>
        <v>2645.8852110506841</v>
      </c>
      <c r="O49" s="105">
        <f t="shared" ref="O49" si="36">O47+O48+O51</f>
        <v>2645.8852110506841</v>
      </c>
      <c r="P49" s="105">
        <f t="shared" ref="P49" si="37">P47+P48+P51</f>
        <v>2645.8852110506841</v>
      </c>
      <c r="Q49" s="105">
        <f t="shared" ref="Q49" si="38">Q47+Q48+Q51</f>
        <v>2645.8852110506841</v>
      </c>
      <c r="R49" s="105">
        <f t="shared" ref="R49" si="39">R47+R48+R51</f>
        <v>2645.8852110506841</v>
      </c>
    </row>
    <row r="51" spans="1:18" ht="30">
      <c r="B51" s="100" t="s">
        <v>303</v>
      </c>
      <c r="C51" s="96" t="s">
        <v>286</v>
      </c>
      <c r="D51" s="105">
        <f>PE_materials!D17*PE_materials!D10</f>
        <v>92.184961329999993</v>
      </c>
      <c r="E51" s="105">
        <f>PE_materials!E17*PE_materials!E10</f>
        <v>96.084999266666671</v>
      </c>
      <c r="F51" s="105">
        <f>PE_materials!F17*PE_materials!F10</f>
        <v>114.77750361000001</v>
      </c>
      <c r="G51" s="105">
        <f>PE_materials!G17*PE_materials!G10</f>
        <v>114.77750361000001</v>
      </c>
      <c r="H51" s="105">
        <f>PE_materials!H17*PE_materials!H10</f>
        <v>114.77750361000001</v>
      </c>
      <c r="I51" s="105">
        <f>PE_materials!I17*PE_materials!I10</f>
        <v>114.77750361000001</v>
      </c>
      <c r="J51" s="105">
        <f>PE_materials!J17*PE_materials!J10</f>
        <v>114.77750361000001</v>
      </c>
      <c r="K51" s="105">
        <f>PE_materials!K17*PE_materials!K10</f>
        <v>114.77750361000001</v>
      </c>
      <c r="L51" s="105">
        <f>PE_materials!L17*PE_materials!L10</f>
        <v>114.77750361000001</v>
      </c>
      <c r="M51" s="105">
        <f>PE_materials!M17*PE_materials!M10</f>
        <v>114.77750361000001</v>
      </c>
      <c r="N51" s="105">
        <f>PE_materials!N17*PE_materials!N10</f>
        <v>114.77750361000001</v>
      </c>
      <c r="O51" s="105">
        <f>PE_materials!O17*PE_materials!O10</f>
        <v>114.77750361000001</v>
      </c>
      <c r="P51" s="105">
        <f>PE_materials!P17*PE_materials!P10</f>
        <v>114.77750361000001</v>
      </c>
      <c r="Q51" s="105">
        <f>PE_materials!Q17*PE_materials!Q10</f>
        <v>114.77750361000001</v>
      </c>
      <c r="R51" s="105">
        <f>PE_materials!R17*PE_materials!R10</f>
        <v>114.77750361000001</v>
      </c>
    </row>
  </sheetData>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C0F5E5-50CE-48F1-A538-E594EDEC1F43}">
  <dimension ref="A1:X42"/>
  <sheetViews>
    <sheetView workbookViewId="0">
      <selection activeCell="B10" sqref="B10"/>
    </sheetView>
  </sheetViews>
  <sheetFormatPr defaultColWidth="9" defaultRowHeight="15"/>
  <cols>
    <col min="1" max="1" width="13.375" style="90" customWidth="1"/>
    <col min="2" max="2" width="62.125" style="106" customWidth="1"/>
    <col min="3" max="3" width="13.125" style="102" customWidth="1"/>
    <col min="4" max="4" width="9.375" style="90" bestFit="1" customWidth="1"/>
    <col min="5" max="20" width="9" style="90"/>
    <col min="21" max="21" width="47" style="90" customWidth="1"/>
    <col min="22" max="22" width="10.625" style="90" bestFit="1" customWidth="1"/>
    <col min="23" max="23" width="11" style="90" bestFit="1" customWidth="1"/>
    <col min="24" max="24" width="19.375" style="90" bestFit="1" customWidth="1"/>
    <col min="25" max="16384" width="9" style="90"/>
  </cols>
  <sheetData>
    <row r="1" spans="1:24" ht="30">
      <c r="A1" s="94"/>
      <c r="B1" s="100"/>
      <c r="C1" s="101" t="s">
        <v>178</v>
      </c>
      <c r="D1" s="96">
        <v>2024</v>
      </c>
      <c r="E1" s="96">
        <f t="shared" ref="E1:R1" si="0">D1+1</f>
        <v>2025</v>
      </c>
      <c r="F1" s="96">
        <f t="shared" si="0"/>
        <v>2026</v>
      </c>
      <c r="G1" s="96">
        <f t="shared" si="0"/>
        <v>2027</v>
      </c>
      <c r="H1" s="96">
        <f t="shared" si="0"/>
        <v>2028</v>
      </c>
      <c r="I1" s="96">
        <f t="shared" si="0"/>
        <v>2029</v>
      </c>
      <c r="J1" s="96">
        <f t="shared" si="0"/>
        <v>2030</v>
      </c>
      <c r="K1" s="96">
        <f t="shared" si="0"/>
        <v>2031</v>
      </c>
      <c r="L1" s="96">
        <f t="shared" si="0"/>
        <v>2032</v>
      </c>
      <c r="M1" s="96">
        <f t="shared" si="0"/>
        <v>2033</v>
      </c>
      <c r="N1" s="96">
        <f t="shared" si="0"/>
        <v>2034</v>
      </c>
      <c r="O1" s="96">
        <f t="shared" si="0"/>
        <v>2035</v>
      </c>
      <c r="P1" s="96">
        <f t="shared" si="0"/>
        <v>2036</v>
      </c>
      <c r="Q1" s="96">
        <f t="shared" si="0"/>
        <v>2037</v>
      </c>
      <c r="R1" s="96">
        <f t="shared" si="0"/>
        <v>2038</v>
      </c>
      <c r="U1" s="122" t="s">
        <v>245</v>
      </c>
      <c r="V1" s="120"/>
      <c r="W1" s="121"/>
      <c r="X1" s="118"/>
    </row>
    <row r="2" spans="1:24" ht="18">
      <c r="A2" s="94"/>
      <c r="B2" s="100" t="s">
        <v>137</v>
      </c>
      <c r="C2" s="96" t="s">
        <v>182</v>
      </c>
      <c r="D2" s="94">
        <v>5301</v>
      </c>
      <c r="E2" s="94">
        <v>5475</v>
      </c>
      <c r="F2" s="94">
        <v>6570</v>
      </c>
      <c r="G2" s="94">
        <v>6570</v>
      </c>
      <c r="H2" s="94">
        <v>6570</v>
      </c>
      <c r="I2" s="94">
        <v>6570</v>
      </c>
      <c r="J2" s="94">
        <v>6570</v>
      </c>
      <c r="K2" s="94">
        <v>6570</v>
      </c>
      <c r="L2" s="94">
        <v>6570</v>
      </c>
      <c r="M2" s="94">
        <v>6570</v>
      </c>
      <c r="N2" s="94">
        <v>6570</v>
      </c>
      <c r="O2" s="94">
        <v>6570</v>
      </c>
      <c r="P2" s="94">
        <v>6570</v>
      </c>
      <c r="Q2" s="94">
        <v>6570</v>
      </c>
      <c r="R2" s="94">
        <v>6570</v>
      </c>
      <c r="V2" s="119" t="s">
        <v>222</v>
      </c>
      <c r="W2" s="119" t="s">
        <v>223</v>
      </c>
      <c r="X2" s="119" t="s">
        <v>246</v>
      </c>
    </row>
    <row r="3" spans="1:24" ht="18">
      <c r="A3" s="89" t="s">
        <v>138</v>
      </c>
      <c r="B3" s="100" t="s">
        <v>136</v>
      </c>
      <c r="C3" s="96" t="s">
        <v>183</v>
      </c>
      <c r="D3" s="94">
        <v>600</v>
      </c>
      <c r="E3" s="94">
        <v>600</v>
      </c>
      <c r="F3" s="94">
        <v>600</v>
      </c>
      <c r="G3" s="94">
        <v>600</v>
      </c>
      <c r="H3" s="94">
        <v>600</v>
      </c>
      <c r="I3" s="94">
        <v>600</v>
      </c>
      <c r="J3" s="94">
        <v>600</v>
      </c>
      <c r="K3" s="94">
        <v>600</v>
      </c>
      <c r="L3" s="94">
        <v>600</v>
      </c>
      <c r="M3" s="94">
        <v>600</v>
      </c>
      <c r="N3" s="94">
        <v>600</v>
      </c>
      <c r="O3" s="94">
        <v>600</v>
      </c>
      <c r="P3" s="94">
        <v>600</v>
      </c>
      <c r="Q3" s="94">
        <v>600</v>
      </c>
      <c r="R3" s="94">
        <v>600</v>
      </c>
      <c r="U3" s="94" t="s">
        <v>247</v>
      </c>
      <c r="V3" s="94" t="s">
        <v>183</v>
      </c>
      <c r="W3" s="94">
        <v>600</v>
      </c>
      <c r="X3" s="94" t="s">
        <v>248</v>
      </c>
    </row>
    <row r="4" spans="1:24">
      <c r="A4" s="94"/>
      <c r="B4" s="100" t="s">
        <v>131</v>
      </c>
      <c r="C4" s="96" t="s">
        <v>132</v>
      </c>
      <c r="D4" s="94">
        <f t="shared" ref="D4:R4" si="1">D2*D3</f>
        <v>3180600</v>
      </c>
      <c r="E4" s="94">
        <f t="shared" si="1"/>
        <v>3285000</v>
      </c>
      <c r="F4" s="94">
        <f t="shared" si="1"/>
        <v>3942000</v>
      </c>
      <c r="G4" s="94">
        <f t="shared" si="1"/>
        <v>3942000</v>
      </c>
      <c r="H4" s="94">
        <f t="shared" si="1"/>
        <v>3942000</v>
      </c>
      <c r="I4" s="94">
        <f t="shared" si="1"/>
        <v>3942000</v>
      </c>
      <c r="J4" s="94">
        <f t="shared" si="1"/>
        <v>3942000</v>
      </c>
      <c r="K4" s="94">
        <f t="shared" si="1"/>
        <v>3942000</v>
      </c>
      <c r="L4" s="94">
        <f t="shared" si="1"/>
        <v>3942000</v>
      </c>
      <c r="M4" s="94">
        <f t="shared" si="1"/>
        <v>3942000</v>
      </c>
      <c r="N4" s="94">
        <f t="shared" si="1"/>
        <v>3942000</v>
      </c>
      <c r="O4" s="94">
        <f t="shared" si="1"/>
        <v>3942000</v>
      </c>
      <c r="P4" s="94">
        <f t="shared" si="1"/>
        <v>3942000</v>
      </c>
      <c r="Q4" s="94">
        <f t="shared" si="1"/>
        <v>3942000</v>
      </c>
      <c r="R4" s="94">
        <f t="shared" si="1"/>
        <v>3942000</v>
      </c>
      <c r="U4" s="94" t="s">
        <v>249</v>
      </c>
      <c r="V4" s="94" t="s">
        <v>251</v>
      </c>
      <c r="W4" s="94" t="s">
        <v>250</v>
      </c>
      <c r="X4" s="94" t="s">
        <v>252</v>
      </c>
    </row>
    <row r="5" spans="1:24" ht="18">
      <c r="B5" s="91" t="s">
        <v>135</v>
      </c>
      <c r="U5" s="94" t="s">
        <v>253</v>
      </c>
      <c r="V5" s="94" t="s">
        <v>182</v>
      </c>
      <c r="W5" s="94">
        <f>0.5*0.3*0.2</f>
        <v>0.03</v>
      </c>
      <c r="X5" s="94"/>
    </row>
    <row r="6" spans="1:24">
      <c r="A6" s="103" t="s">
        <v>184</v>
      </c>
      <c r="B6" s="95" t="s">
        <v>130</v>
      </c>
      <c r="C6" s="96" t="s">
        <v>133</v>
      </c>
      <c r="D6" s="104">
        <f>W29</f>
        <v>0.42777777777777776</v>
      </c>
      <c r="E6" s="104">
        <f t="shared" ref="E6:R6" si="2">D6</f>
        <v>0.42777777777777776</v>
      </c>
      <c r="F6" s="104">
        <f t="shared" si="2"/>
        <v>0.42777777777777776</v>
      </c>
      <c r="G6" s="104">
        <f t="shared" si="2"/>
        <v>0.42777777777777776</v>
      </c>
      <c r="H6" s="104">
        <f t="shared" si="2"/>
        <v>0.42777777777777776</v>
      </c>
      <c r="I6" s="104">
        <f t="shared" si="2"/>
        <v>0.42777777777777776</v>
      </c>
      <c r="J6" s="104">
        <f t="shared" si="2"/>
        <v>0.42777777777777776</v>
      </c>
      <c r="K6" s="104">
        <f t="shared" si="2"/>
        <v>0.42777777777777776</v>
      </c>
      <c r="L6" s="104">
        <f t="shared" si="2"/>
        <v>0.42777777777777776</v>
      </c>
      <c r="M6" s="104">
        <f t="shared" si="2"/>
        <v>0.42777777777777776</v>
      </c>
      <c r="N6" s="104">
        <f t="shared" si="2"/>
        <v>0.42777777777777776</v>
      </c>
      <c r="O6" s="104">
        <f t="shared" si="2"/>
        <v>0.42777777777777776</v>
      </c>
      <c r="P6" s="104">
        <f t="shared" si="2"/>
        <v>0.42777777777777776</v>
      </c>
      <c r="Q6" s="104">
        <f t="shared" si="2"/>
        <v>0.42777777777777776</v>
      </c>
      <c r="R6" s="104">
        <f t="shared" si="2"/>
        <v>0.42777777777777776</v>
      </c>
      <c r="U6" s="94" t="s">
        <v>254</v>
      </c>
      <c r="V6" s="94" t="s">
        <v>132</v>
      </c>
      <c r="W6" s="94">
        <f>W3*W5</f>
        <v>18</v>
      </c>
      <c r="X6" s="94"/>
    </row>
    <row r="7" spans="1:24">
      <c r="A7" s="103" t="s">
        <v>185</v>
      </c>
      <c r="B7" s="95" t="s">
        <v>40</v>
      </c>
      <c r="C7" s="96" t="s">
        <v>133</v>
      </c>
      <c r="D7" s="104">
        <f>W27</f>
        <v>0.55555555555555558</v>
      </c>
      <c r="E7" s="104">
        <f t="shared" ref="E7:R7" si="3">D7</f>
        <v>0.55555555555555558</v>
      </c>
      <c r="F7" s="104">
        <f t="shared" si="3"/>
        <v>0.55555555555555558</v>
      </c>
      <c r="G7" s="104">
        <f t="shared" si="3"/>
        <v>0.55555555555555558</v>
      </c>
      <c r="H7" s="104">
        <f t="shared" si="3"/>
        <v>0.55555555555555558</v>
      </c>
      <c r="I7" s="104">
        <f t="shared" si="3"/>
        <v>0.55555555555555558</v>
      </c>
      <c r="J7" s="104">
        <f t="shared" si="3"/>
        <v>0.55555555555555558</v>
      </c>
      <c r="K7" s="104">
        <f t="shared" si="3"/>
        <v>0.55555555555555558</v>
      </c>
      <c r="L7" s="104">
        <f t="shared" si="3"/>
        <v>0.55555555555555558</v>
      </c>
      <c r="M7" s="104">
        <f t="shared" si="3"/>
        <v>0.55555555555555558</v>
      </c>
      <c r="N7" s="104">
        <f t="shared" si="3"/>
        <v>0.55555555555555558</v>
      </c>
      <c r="O7" s="104">
        <f t="shared" si="3"/>
        <v>0.55555555555555558</v>
      </c>
      <c r="P7" s="104">
        <f t="shared" si="3"/>
        <v>0.55555555555555558</v>
      </c>
      <c r="Q7" s="104">
        <f t="shared" si="3"/>
        <v>0.55555555555555558</v>
      </c>
      <c r="R7" s="104">
        <f t="shared" si="3"/>
        <v>0.55555555555555558</v>
      </c>
      <c r="U7" s="94" t="s">
        <v>255</v>
      </c>
      <c r="V7" s="94" t="s">
        <v>256</v>
      </c>
      <c r="W7" s="94">
        <v>10</v>
      </c>
      <c r="X7" s="94" t="s">
        <v>257</v>
      </c>
    </row>
    <row r="8" spans="1:24">
      <c r="A8" s="103" t="s">
        <v>186</v>
      </c>
      <c r="B8" s="95" t="s">
        <v>65</v>
      </c>
      <c r="C8" s="96" t="s">
        <v>133</v>
      </c>
      <c r="D8" s="104">
        <f>W28</f>
        <v>1.6666666666666666E-2</v>
      </c>
      <c r="E8" s="104">
        <f t="shared" ref="E8:R8" si="4">D8</f>
        <v>1.6666666666666666E-2</v>
      </c>
      <c r="F8" s="104">
        <f t="shared" si="4"/>
        <v>1.6666666666666666E-2</v>
      </c>
      <c r="G8" s="104">
        <f t="shared" si="4"/>
        <v>1.6666666666666666E-2</v>
      </c>
      <c r="H8" s="104">
        <f t="shared" si="4"/>
        <v>1.6666666666666666E-2</v>
      </c>
      <c r="I8" s="104">
        <f t="shared" si="4"/>
        <v>1.6666666666666666E-2</v>
      </c>
      <c r="J8" s="104">
        <f t="shared" si="4"/>
        <v>1.6666666666666666E-2</v>
      </c>
      <c r="K8" s="104">
        <f t="shared" si="4"/>
        <v>1.6666666666666666E-2</v>
      </c>
      <c r="L8" s="104">
        <f t="shared" si="4"/>
        <v>1.6666666666666666E-2</v>
      </c>
      <c r="M8" s="104">
        <f t="shared" si="4"/>
        <v>1.6666666666666666E-2</v>
      </c>
      <c r="N8" s="104">
        <f t="shared" si="4"/>
        <v>1.6666666666666666E-2</v>
      </c>
      <c r="O8" s="104">
        <f t="shared" si="4"/>
        <v>1.6666666666666666E-2</v>
      </c>
      <c r="P8" s="104">
        <f t="shared" si="4"/>
        <v>1.6666666666666666E-2</v>
      </c>
      <c r="Q8" s="104">
        <f t="shared" si="4"/>
        <v>1.6666666666666666E-2</v>
      </c>
      <c r="R8" s="104">
        <f t="shared" si="4"/>
        <v>1.6666666666666666E-2</v>
      </c>
      <c r="U8" s="94" t="s">
        <v>258</v>
      </c>
      <c r="V8" s="94" t="s">
        <v>132</v>
      </c>
      <c r="W8" s="94">
        <f>W6*W7</f>
        <v>180</v>
      </c>
      <c r="X8" s="94"/>
    </row>
    <row r="9" spans="1:24" ht="16.5">
      <c r="B9" s="91" t="s">
        <v>314</v>
      </c>
      <c r="U9" s="94" t="s">
        <v>270</v>
      </c>
      <c r="V9" s="94" t="s">
        <v>132</v>
      </c>
      <c r="W9" s="94">
        <f>W10+W11</f>
        <v>1010</v>
      </c>
      <c r="X9" s="94" t="s">
        <v>271</v>
      </c>
    </row>
    <row r="10" spans="1:24">
      <c r="A10"/>
      <c r="B10" s="95" t="s">
        <v>130</v>
      </c>
      <c r="C10" s="96" t="s">
        <v>134</v>
      </c>
      <c r="D10" s="97">
        <f t="shared" ref="D10:R10" si="5">D$4*D6*0.001</f>
        <v>1360.59</v>
      </c>
      <c r="E10" s="97">
        <f t="shared" si="5"/>
        <v>1405.25</v>
      </c>
      <c r="F10" s="97">
        <f t="shared" si="5"/>
        <v>1686.3</v>
      </c>
      <c r="G10" s="97">
        <f t="shared" si="5"/>
        <v>1686.3</v>
      </c>
      <c r="H10" s="97">
        <f t="shared" si="5"/>
        <v>1686.3</v>
      </c>
      <c r="I10" s="97">
        <f t="shared" si="5"/>
        <v>1686.3</v>
      </c>
      <c r="J10" s="97">
        <f t="shared" si="5"/>
        <v>1686.3</v>
      </c>
      <c r="K10" s="97">
        <f t="shared" si="5"/>
        <v>1686.3</v>
      </c>
      <c r="L10" s="97">
        <f t="shared" si="5"/>
        <v>1686.3</v>
      </c>
      <c r="M10" s="97">
        <f t="shared" si="5"/>
        <v>1686.3</v>
      </c>
      <c r="N10" s="97">
        <f t="shared" si="5"/>
        <v>1686.3</v>
      </c>
      <c r="O10" s="97">
        <f t="shared" si="5"/>
        <v>1686.3</v>
      </c>
      <c r="P10" s="97">
        <f t="shared" si="5"/>
        <v>1686.3</v>
      </c>
      <c r="Q10" s="97">
        <f t="shared" si="5"/>
        <v>1686.3</v>
      </c>
      <c r="R10" s="97">
        <f t="shared" si="5"/>
        <v>1686.3</v>
      </c>
      <c r="U10" s="124" t="s">
        <v>259</v>
      </c>
      <c r="V10" s="94" t="s">
        <v>261</v>
      </c>
      <c r="W10" s="94">
        <v>950</v>
      </c>
      <c r="X10" s="94" t="s">
        <v>257</v>
      </c>
    </row>
    <row r="11" spans="1:24" ht="16.5">
      <c r="A11"/>
      <c r="B11" s="95" t="s">
        <v>40</v>
      </c>
      <c r="C11" s="96" t="s">
        <v>134</v>
      </c>
      <c r="D11" s="97">
        <f t="shared" ref="D11:R11" si="6">D$4*D7*0.001</f>
        <v>1767</v>
      </c>
      <c r="E11" s="97">
        <f t="shared" si="6"/>
        <v>1825</v>
      </c>
      <c r="F11" s="97">
        <f t="shared" si="6"/>
        <v>2190</v>
      </c>
      <c r="G11" s="97">
        <f t="shared" si="6"/>
        <v>2190</v>
      </c>
      <c r="H11" s="97">
        <f t="shared" si="6"/>
        <v>2190</v>
      </c>
      <c r="I11" s="97">
        <f t="shared" si="6"/>
        <v>2190</v>
      </c>
      <c r="J11" s="97">
        <f t="shared" si="6"/>
        <v>2190</v>
      </c>
      <c r="K11" s="97">
        <f t="shared" si="6"/>
        <v>2190</v>
      </c>
      <c r="L11" s="97">
        <f t="shared" si="6"/>
        <v>2190</v>
      </c>
      <c r="M11" s="97">
        <f t="shared" si="6"/>
        <v>2190</v>
      </c>
      <c r="N11" s="97">
        <f t="shared" si="6"/>
        <v>2190</v>
      </c>
      <c r="O11" s="97">
        <f t="shared" si="6"/>
        <v>2190</v>
      </c>
      <c r="P11" s="97">
        <f t="shared" si="6"/>
        <v>2190</v>
      </c>
      <c r="Q11" s="97">
        <f t="shared" si="6"/>
        <v>2190</v>
      </c>
      <c r="R11" s="97">
        <f t="shared" si="6"/>
        <v>2190</v>
      </c>
      <c r="U11" s="124" t="s">
        <v>260</v>
      </c>
      <c r="V11" s="94" t="s">
        <v>132</v>
      </c>
      <c r="W11" s="94">
        <v>60</v>
      </c>
      <c r="X11" s="94" t="s">
        <v>257</v>
      </c>
    </row>
    <row r="12" spans="1:24">
      <c r="A12"/>
      <c r="B12" s="95" t="s">
        <v>65</v>
      </c>
      <c r="C12" s="96" t="s">
        <v>134</v>
      </c>
      <c r="D12" s="97">
        <f t="shared" ref="D12:R12" si="7">D$4*D8*0.001</f>
        <v>53.01</v>
      </c>
      <c r="E12" s="97">
        <f t="shared" si="7"/>
        <v>54.75</v>
      </c>
      <c r="F12" s="97">
        <f t="shared" si="7"/>
        <v>65.7</v>
      </c>
      <c r="G12" s="97">
        <f t="shared" si="7"/>
        <v>65.7</v>
      </c>
      <c r="H12" s="97">
        <f t="shared" si="7"/>
        <v>65.7</v>
      </c>
      <c r="I12" s="97">
        <f t="shared" si="7"/>
        <v>65.7</v>
      </c>
      <c r="J12" s="97">
        <f t="shared" si="7"/>
        <v>65.7</v>
      </c>
      <c r="K12" s="97">
        <f t="shared" si="7"/>
        <v>65.7</v>
      </c>
      <c r="L12" s="97">
        <f t="shared" si="7"/>
        <v>65.7</v>
      </c>
      <c r="M12" s="97">
        <f t="shared" si="7"/>
        <v>65.7</v>
      </c>
      <c r="N12" s="97">
        <f t="shared" si="7"/>
        <v>65.7</v>
      </c>
      <c r="O12" s="97">
        <f t="shared" si="7"/>
        <v>65.7</v>
      </c>
      <c r="P12" s="97">
        <f t="shared" si="7"/>
        <v>65.7</v>
      </c>
      <c r="Q12" s="97">
        <f t="shared" si="7"/>
        <v>65.7</v>
      </c>
      <c r="R12" s="97">
        <f t="shared" si="7"/>
        <v>65.7</v>
      </c>
      <c r="U12" s="94" t="s">
        <v>263</v>
      </c>
      <c r="V12" s="94"/>
      <c r="W12" s="94"/>
      <c r="X12" s="94"/>
    </row>
    <row r="13" spans="1:24" ht="30">
      <c r="A13"/>
      <c r="B13" s="95" t="s">
        <v>309</v>
      </c>
      <c r="C13" s="96" t="s">
        <v>275</v>
      </c>
      <c r="D13" s="104">
        <f>((115+95+91)/1.5)</f>
        <v>200.66666666666666</v>
      </c>
      <c r="E13" s="104">
        <f t="shared" ref="E13:R13" si="8">((115+95+91)/1.5)</f>
        <v>200.66666666666666</v>
      </c>
      <c r="F13" s="104">
        <f t="shared" si="8"/>
        <v>200.66666666666666</v>
      </c>
      <c r="G13" s="104">
        <f t="shared" si="8"/>
        <v>200.66666666666666</v>
      </c>
      <c r="H13" s="104">
        <f t="shared" si="8"/>
        <v>200.66666666666666</v>
      </c>
      <c r="I13" s="104">
        <f t="shared" si="8"/>
        <v>200.66666666666666</v>
      </c>
      <c r="J13" s="104">
        <f t="shared" si="8"/>
        <v>200.66666666666666</v>
      </c>
      <c r="K13" s="104">
        <f t="shared" si="8"/>
        <v>200.66666666666666</v>
      </c>
      <c r="L13" s="104">
        <f t="shared" si="8"/>
        <v>200.66666666666666</v>
      </c>
      <c r="M13" s="104">
        <f t="shared" si="8"/>
        <v>200.66666666666666</v>
      </c>
      <c r="N13" s="104">
        <f t="shared" si="8"/>
        <v>200.66666666666666</v>
      </c>
      <c r="O13" s="104">
        <f t="shared" si="8"/>
        <v>200.66666666666666</v>
      </c>
      <c r="P13" s="104">
        <f t="shared" si="8"/>
        <v>200.66666666666666</v>
      </c>
      <c r="Q13" s="104">
        <f t="shared" si="8"/>
        <v>200.66666666666666</v>
      </c>
      <c r="R13" s="104">
        <f t="shared" si="8"/>
        <v>200.66666666666666</v>
      </c>
      <c r="U13" s="94"/>
      <c r="V13" s="94"/>
      <c r="W13" s="94"/>
      <c r="X13" s="94"/>
    </row>
    <row r="14" spans="1:24">
      <c r="A14"/>
      <c r="B14" s="95" t="s">
        <v>310</v>
      </c>
      <c r="C14" s="96" t="s">
        <v>141</v>
      </c>
      <c r="D14" s="94">
        <v>8</v>
      </c>
      <c r="E14" s="94">
        <f>D14</f>
        <v>8</v>
      </c>
      <c r="F14" s="94">
        <f t="shared" ref="F14:R14" si="9">E14</f>
        <v>8</v>
      </c>
      <c r="G14" s="94">
        <f t="shared" si="9"/>
        <v>8</v>
      </c>
      <c r="H14" s="94">
        <f t="shared" si="9"/>
        <v>8</v>
      </c>
      <c r="I14" s="94">
        <f t="shared" si="9"/>
        <v>8</v>
      </c>
      <c r="J14" s="94">
        <f t="shared" si="9"/>
        <v>8</v>
      </c>
      <c r="K14" s="94">
        <f t="shared" si="9"/>
        <v>8</v>
      </c>
      <c r="L14" s="94">
        <f t="shared" si="9"/>
        <v>8</v>
      </c>
      <c r="M14" s="94">
        <f t="shared" si="9"/>
        <v>8</v>
      </c>
      <c r="N14" s="94">
        <f t="shared" si="9"/>
        <v>8</v>
      </c>
      <c r="O14" s="94">
        <f t="shared" si="9"/>
        <v>8</v>
      </c>
      <c r="P14" s="94">
        <f t="shared" si="9"/>
        <v>8</v>
      </c>
      <c r="Q14" s="94">
        <f t="shared" si="9"/>
        <v>8</v>
      </c>
      <c r="R14" s="94">
        <f t="shared" si="9"/>
        <v>8</v>
      </c>
      <c r="U14" s="94"/>
      <c r="V14" s="94"/>
      <c r="W14" s="94"/>
      <c r="X14" s="94"/>
    </row>
    <row r="15" spans="1:24" ht="16.5">
      <c r="U15" s="94" t="s">
        <v>262</v>
      </c>
      <c r="V15" s="94" t="s">
        <v>132</v>
      </c>
      <c r="W15" s="94">
        <f>W9/20</f>
        <v>50.5</v>
      </c>
      <c r="X15" s="94" t="s">
        <v>273</v>
      </c>
    </row>
    <row r="16" spans="1:24">
      <c r="B16" s="91" t="s">
        <v>139</v>
      </c>
      <c r="D16" s="177"/>
      <c r="U16" s="94"/>
      <c r="V16" s="94"/>
      <c r="W16" s="94"/>
      <c r="X16" s="94"/>
    </row>
    <row r="17" spans="1:24" ht="16.5">
      <c r="A17" s="103" t="s">
        <v>184</v>
      </c>
      <c r="B17" s="95" t="s">
        <v>130</v>
      </c>
      <c r="C17" s="96" t="s">
        <v>187</v>
      </c>
      <c r="D17" s="104">
        <f>((D13*0.001*D39*0.001)+(D14*D34*10^-6))</f>
        <v>6.775366666666667E-2</v>
      </c>
      <c r="E17" s="104">
        <f t="shared" ref="E17:R17" si="10">((E13*0.001*E39*0.001)+(E14*E34*10^-6))</f>
        <v>6.8375733333333341E-2</v>
      </c>
      <c r="F17" s="104">
        <f t="shared" si="10"/>
        <v>6.8064700000000006E-2</v>
      </c>
      <c r="G17" s="104">
        <f t="shared" si="10"/>
        <v>6.8064700000000006E-2</v>
      </c>
      <c r="H17" s="104">
        <f t="shared" si="10"/>
        <v>6.8064700000000006E-2</v>
      </c>
      <c r="I17" s="104">
        <f t="shared" si="10"/>
        <v>6.8064700000000006E-2</v>
      </c>
      <c r="J17" s="104">
        <f t="shared" si="10"/>
        <v>6.8064700000000006E-2</v>
      </c>
      <c r="K17" s="104">
        <f t="shared" si="10"/>
        <v>6.8064700000000006E-2</v>
      </c>
      <c r="L17" s="104">
        <f t="shared" si="10"/>
        <v>6.8064700000000006E-2</v>
      </c>
      <c r="M17" s="104">
        <f t="shared" si="10"/>
        <v>6.8064700000000006E-2</v>
      </c>
      <c r="N17" s="104">
        <f t="shared" si="10"/>
        <v>6.8064700000000006E-2</v>
      </c>
      <c r="O17" s="104">
        <f t="shared" si="10"/>
        <v>6.8064700000000006E-2</v>
      </c>
      <c r="P17" s="104">
        <f t="shared" si="10"/>
        <v>6.8064700000000006E-2</v>
      </c>
      <c r="Q17" s="104">
        <f t="shared" si="10"/>
        <v>6.8064700000000006E-2</v>
      </c>
      <c r="R17" s="104">
        <f t="shared" si="10"/>
        <v>6.8064700000000006E-2</v>
      </c>
      <c r="U17" s="124" t="s">
        <v>259</v>
      </c>
      <c r="V17" s="94" t="s">
        <v>261</v>
      </c>
      <c r="W17" s="94">
        <f>W10/20</f>
        <v>47.5</v>
      </c>
      <c r="X17" s="94"/>
    </row>
    <row r="18" spans="1:24" ht="16.5">
      <c r="A18" s="103" t="s">
        <v>185</v>
      </c>
      <c r="B18" s="95" t="s">
        <v>40</v>
      </c>
      <c r="C18" s="96" t="s">
        <v>187</v>
      </c>
      <c r="D18" s="94">
        <v>0.85</v>
      </c>
      <c r="E18" s="94">
        <v>0.85</v>
      </c>
      <c r="F18" s="94">
        <v>0.85</v>
      </c>
      <c r="G18" s="94">
        <v>0.85</v>
      </c>
      <c r="H18" s="94">
        <v>0.85</v>
      </c>
      <c r="I18" s="94">
        <v>0.85</v>
      </c>
      <c r="J18" s="94">
        <v>0.85</v>
      </c>
      <c r="K18" s="94">
        <v>0.85</v>
      </c>
      <c r="L18" s="94">
        <v>0.85</v>
      </c>
      <c r="M18" s="94">
        <v>0.85</v>
      </c>
      <c r="N18" s="94">
        <v>0.85</v>
      </c>
      <c r="O18" s="94">
        <v>0.85</v>
      </c>
      <c r="P18" s="94">
        <v>0.85</v>
      </c>
      <c r="Q18" s="94">
        <v>0.85</v>
      </c>
      <c r="R18" s="94">
        <v>0.85</v>
      </c>
      <c r="U18" s="124" t="s">
        <v>260</v>
      </c>
      <c r="V18" s="94" t="s">
        <v>132</v>
      </c>
      <c r="W18" s="94">
        <f>W11/20</f>
        <v>3</v>
      </c>
      <c r="X18" s="94" t="s">
        <v>257</v>
      </c>
    </row>
    <row r="19" spans="1:24" ht="16.5">
      <c r="A19" s="103" t="s">
        <v>186</v>
      </c>
      <c r="B19" s="95" t="s">
        <v>65</v>
      </c>
      <c r="C19" s="96" t="s">
        <v>187</v>
      </c>
      <c r="D19" s="94">
        <v>0.29499999999999998</v>
      </c>
      <c r="E19" s="94">
        <v>0.29499999999999998</v>
      </c>
      <c r="F19" s="94">
        <v>0.29499999999999998</v>
      </c>
      <c r="G19" s="94">
        <v>0.29499999999999998</v>
      </c>
      <c r="H19" s="94">
        <v>0.29499999999999998</v>
      </c>
      <c r="I19" s="94">
        <v>0.29499999999999998</v>
      </c>
      <c r="J19" s="94">
        <v>0.29499999999999998</v>
      </c>
      <c r="K19" s="94">
        <v>0.29499999999999998</v>
      </c>
      <c r="L19" s="94">
        <v>0.29499999999999998</v>
      </c>
      <c r="M19" s="94">
        <v>0.29499999999999998</v>
      </c>
      <c r="N19" s="94">
        <v>0.29499999999999998</v>
      </c>
      <c r="O19" s="94">
        <v>0.29499999999999998</v>
      </c>
      <c r="P19" s="94">
        <v>0.29499999999999998</v>
      </c>
      <c r="Q19" s="94">
        <v>0.29499999999999998</v>
      </c>
      <c r="R19" s="94">
        <v>0.29499999999999998</v>
      </c>
      <c r="U19" s="94" t="s">
        <v>40</v>
      </c>
      <c r="V19" s="94" t="s">
        <v>132</v>
      </c>
      <c r="W19" s="94">
        <v>100</v>
      </c>
      <c r="X19" s="94" t="s">
        <v>264</v>
      </c>
    </row>
    <row r="20" spans="1:24" ht="18.75" customHeight="1">
      <c r="A20" s="94"/>
      <c r="B20" s="95" t="s">
        <v>140</v>
      </c>
      <c r="C20" s="96" t="s">
        <v>286</v>
      </c>
      <c r="D20" s="105">
        <f>D10*D17+D11*D18+D12*D19</f>
        <v>1609.7729113300002</v>
      </c>
      <c r="E20" s="105">
        <f t="shared" ref="E20:R20" si="11">E10*E17+E11*E18+E12*E19</f>
        <v>1663.4862492666666</v>
      </c>
      <c r="F20" s="105">
        <f t="shared" si="11"/>
        <v>1995.6590036099999</v>
      </c>
      <c r="G20" s="105">
        <f t="shared" si="11"/>
        <v>1995.6590036099999</v>
      </c>
      <c r="H20" s="105">
        <f t="shared" si="11"/>
        <v>1995.6590036099999</v>
      </c>
      <c r="I20" s="105">
        <f t="shared" si="11"/>
        <v>1995.6590036099999</v>
      </c>
      <c r="J20" s="105">
        <f t="shared" si="11"/>
        <v>1995.6590036099999</v>
      </c>
      <c r="K20" s="105">
        <f t="shared" si="11"/>
        <v>1995.6590036099999</v>
      </c>
      <c r="L20" s="105">
        <f t="shared" si="11"/>
        <v>1995.6590036099999</v>
      </c>
      <c r="M20" s="105">
        <f t="shared" si="11"/>
        <v>1995.6590036099999</v>
      </c>
      <c r="N20" s="105">
        <f t="shared" si="11"/>
        <v>1995.6590036099999</v>
      </c>
      <c r="O20" s="105">
        <f t="shared" si="11"/>
        <v>1995.6590036099999</v>
      </c>
      <c r="P20" s="105">
        <f t="shared" si="11"/>
        <v>1995.6590036099999</v>
      </c>
      <c r="Q20" s="105">
        <f t="shared" si="11"/>
        <v>1995.6590036099999</v>
      </c>
      <c r="R20" s="105">
        <f t="shared" si="11"/>
        <v>1995.6590036099999</v>
      </c>
      <c r="U20" s="94" t="s">
        <v>265</v>
      </c>
      <c r="V20" s="94" t="s">
        <v>132</v>
      </c>
      <c r="W20" s="94">
        <v>81</v>
      </c>
      <c r="X20" s="94" t="s">
        <v>264</v>
      </c>
    </row>
    <row r="21" spans="1:24">
      <c r="U21" s="94" t="s">
        <v>266</v>
      </c>
      <c r="V21" s="94" t="s">
        <v>132</v>
      </c>
      <c r="W21" s="123">
        <f>W15+W19+W20</f>
        <v>231.5</v>
      </c>
      <c r="X21" s="94"/>
    </row>
    <row r="22" spans="1:24">
      <c r="U22" s="90" t="s">
        <v>274</v>
      </c>
    </row>
    <row r="23" spans="1:24" ht="30">
      <c r="A23" s="94"/>
      <c r="B23" s="100" t="s">
        <v>188</v>
      </c>
      <c r="U23" s="124" t="s">
        <v>40</v>
      </c>
      <c r="V23" s="94" t="s">
        <v>132</v>
      </c>
      <c r="W23" s="94">
        <f>W19</f>
        <v>100</v>
      </c>
    </row>
    <row r="24" spans="1:24" ht="16.5">
      <c r="A24" s="103" t="s">
        <v>184</v>
      </c>
      <c r="B24" s="95" t="s">
        <v>130</v>
      </c>
      <c r="C24" s="96" t="s">
        <v>134</v>
      </c>
      <c r="D24" s="97">
        <f t="shared" ref="D24:R24" si="12">D10</f>
        <v>1360.59</v>
      </c>
      <c r="E24" s="97">
        <f t="shared" si="12"/>
        <v>1405.25</v>
      </c>
      <c r="F24" s="97">
        <f t="shared" si="12"/>
        <v>1686.3</v>
      </c>
      <c r="G24" s="97">
        <f t="shared" si="12"/>
        <v>1686.3</v>
      </c>
      <c r="H24" s="97">
        <f t="shared" si="12"/>
        <v>1686.3</v>
      </c>
      <c r="I24" s="97">
        <f t="shared" si="12"/>
        <v>1686.3</v>
      </c>
      <c r="J24" s="97">
        <f t="shared" si="12"/>
        <v>1686.3</v>
      </c>
      <c r="K24" s="97">
        <f t="shared" si="12"/>
        <v>1686.3</v>
      </c>
      <c r="L24" s="97">
        <f t="shared" si="12"/>
        <v>1686.3</v>
      </c>
      <c r="M24" s="97">
        <f t="shared" si="12"/>
        <v>1686.3</v>
      </c>
      <c r="N24" s="97">
        <f t="shared" si="12"/>
        <v>1686.3</v>
      </c>
      <c r="O24" s="97">
        <f t="shared" si="12"/>
        <v>1686.3</v>
      </c>
      <c r="P24" s="97">
        <f t="shared" si="12"/>
        <v>1686.3</v>
      </c>
      <c r="Q24" s="97">
        <f t="shared" si="12"/>
        <v>1686.3</v>
      </c>
      <c r="R24" s="97">
        <f t="shared" si="12"/>
        <v>1686.3</v>
      </c>
      <c r="U24" s="124" t="s">
        <v>260</v>
      </c>
      <c r="V24" s="94" t="s">
        <v>132</v>
      </c>
      <c r="W24" s="94">
        <f>W18</f>
        <v>3</v>
      </c>
    </row>
    <row r="25" spans="1:24">
      <c r="A25" s="103" t="s">
        <v>185</v>
      </c>
      <c r="B25" s="95" t="s">
        <v>40</v>
      </c>
      <c r="C25" s="96" t="s">
        <v>134</v>
      </c>
      <c r="D25" s="97">
        <f t="shared" ref="D25:R25" si="13">D11</f>
        <v>1767</v>
      </c>
      <c r="E25" s="97">
        <f t="shared" si="13"/>
        <v>1825</v>
      </c>
      <c r="F25" s="97">
        <f t="shared" si="13"/>
        <v>2190</v>
      </c>
      <c r="G25" s="97">
        <f t="shared" si="13"/>
        <v>2190</v>
      </c>
      <c r="H25" s="97">
        <f t="shared" si="13"/>
        <v>2190</v>
      </c>
      <c r="I25" s="97">
        <f t="shared" si="13"/>
        <v>2190</v>
      </c>
      <c r="J25" s="97">
        <f t="shared" si="13"/>
        <v>2190</v>
      </c>
      <c r="K25" s="97">
        <f t="shared" si="13"/>
        <v>2190</v>
      </c>
      <c r="L25" s="97">
        <f t="shared" si="13"/>
        <v>2190</v>
      </c>
      <c r="M25" s="97">
        <f t="shared" si="13"/>
        <v>2190</v>
      </c>
      <c r="N25" s="97">
        <f t="shared" si="13"/>
        <v>2190</v>
      </c>
      <c r="O25" s="97">
        <f t="shared" si="13"/>
        <v>2190</v>
      </c>
      <c r="P25" s="97">
        <f t="shared" si="13"/>
        <v>2190</v>
      </c>
      <c r="Q25" s="97">
        <f t="shared" si="13"/>
        <v>2190</v>
      </c>
      <c r="R25" s="97">
        <f t="shared" si="13"/>
        <v>2190</v>
      </c>
      <c r="U25" s="124" t="s">
        <v>267</v>
      </c>
      <c r="V25" s="94" t="s">
        <v>132</v>
      </c>
      <c r="W25" s="94">
        <f>W8-W23-W24</f>
        <v>77</v>
      </c>
    </row>
    <row r="26" spans="1:24">
      <c r="A26" s="103" t="s">
        <v>186</v>
      </c>
      <c r="B26" s="95" t="s">
        <v>65</v>
      </c>
      <c r="C26" s="96" t="s">
        <v>134</v>
      </c>
      <c r="D26" s="97">
        <f t="shared" ref="D26:R26" si="14">D12</f>
        <v>53.01</v>
      </c>
      <c r="E26" s="97">
        <f t="shared" si="14"/>
        <v>54.75</v>
      </c>
      <c r="F26" s="97">
        <f t="shared" si="14"/>
        <v>65.7</v>
      </c>
      <c r="G26" s="97">
        <f t="shared" si="14"/>
        <v>65.7</v>
      </c>
      <c r="H26" s="97">
        <f t="shared" si="14"/>
        <v>65.7</v>
      </c>
      <c r="I26" s="97">
        <f t="shared" si="14"/>
        <v>65.7</v>
      </c>
      <c r="J26" s="97">
        <f t="shared" si="14"/>
        <v>65.7</v>
      </c>
      <c r="K26" s="97">
        <f t="shared" si="14"/>
        <v>65.7</v>
      </c>
      <c r="L26" s="97">
        <f t="shared" si="14"/>
        <v>65.7</v>
      </c>
      <c r="M26" s="97">
        <f t="shared" si="14"/>
        <v>65.7</v>
      </c>
      <c r="N26" s="97">
        <f t="shared" si="14"/>
        <v>65.7</v>
      </c>
      <c r="O26" s="97">
        <f t="shared" si="14"/>
        <v>65.7</v>
      </c>
      <c r="P26" s="97">
        <f t="shared" si="14"/>
        <v>65.7</v>
      </c>
      <c r="Q26" s="97">
        <f t="shared" si="14"/>
        <v>65.7</v>
      </c>
      <c r="R26" s="97">
        <f t="shared" si="14"/>
        <v>65.7</v>
      </c>
      <c r="U26" s="90" t="s">
        <v>269</v>
      </c>
    </row>
    <row r="27" spans="1:24">
      <c r="B27" s="106" t="s">
        <v>315</v>
      </c>
      <c r="U27" s="124" t="s">
        <v>40</v>
      </c>
      <c r="V27" s="94" t="s">
        <v>133</v>
      </c>
      <c r="W27" s="104">
        <f>W23/$W$8</f>
        <v>0.55555555555555558</v>
      </c>
    </row>
    <row r="28" spans="1:24" ht="16.5">
      <c r="A28" s="103" t="s">
        <v>184</v>
      </c>
      <c r="B28" s="95" t="s">
        <v>130</v>
      </c>
      <c r="C28" s="96" t="s">
        <v>141</v>
      </c>
      <c r="D28" s="94">
        <f t="shared" ref="D28:R28" si="15">145*2</f>
        <v>290</v>
      </c>
      <c r="E28" s="94">
        <f t="shared" si="15"/>
        <v>290</v>
      </c>
      <c r="F28" s="94">
        <f t="shared" si="15"/>
        <v>290</v>
      </c>
      <c r="G28" s="94">
        <f t="shared" si="15"/>
        <v>290</v>
      </c>
      <c r="H28" s="94">
        <f t="shared" si="15"/>
        <v>290</v>
      </c>
      <c r="I28" s="94">
        <f t="shared" si="15"/>
        <v>290</v>
      </c>
      <c r="J28" s="94">
        <f t="shared" si="15"/>
        <v>290</v>
      </c>
      <c r="K28" s="94">
        <f t="shared" si="15"/>
        <v>290</v>
      </c>
      <c r="L28" s="94">
        <f t="shared" si="15"/>
        <v>290</v>
      </c>
      <c r="M28" s="94">
        <f t="shared" si="15"/>
        <v>290</v>
      </c>
      <c r="N28" s="94">
        <f t="shared" si="15"/>
        <v>290</v>
      </c>
      <c r="O28" s="94">
        <f t="shared" si="15"/>
        <v>290</v>
      </c>
      <c r="P28" s="94">
        <f t="shared" si="15"/>
        <v>290</v>
      </c>
      <c r="Q28" s="94">
        <f t="shared" si="15"/>
        <v>290</v>
      </c>
      <c r="R28" s="94">
        <f t="shared" si="15"/>
        <v>290</v>
      </c>
      <c r="U28" s="124" t="s">
        <v>260</v>
      </c>
      <c r="V28" s="94" t="s">
        <v>133</v>
      </c>
      <c r="W28" s="104">
        <f>W24/$W$8</f>
        <v>1.6666666666666666E-2</v>
      </c>
    </row>
    <row r="29" spans="1:24">
      <c r="A29" s="103" t="s">
        <v>185</v>
      </c>
      <c r="B29" s="95" t="s">
        <v>40</v>
      </c>
      <c r="C29" s="96" t="s">
        <v>141</v>
      </c>
      <c r="D29" s="94">
        <f t="shared" ref="D29:R29" si="16">440*2</f>
        <v>880</v>
      </c>
      <c r="E29" s="94">
        <f t="shared" si="16"/>
        <v>880</v>
      </c>
      <c r="F29" s="94">
        <f t="shared" si="16"/>
        <v>880</v>
      </c>
      <c r="G29" s="94">
        <f t="shared" si="16"/>
        <v>880</v>
      </c>
      <c r="H29" s="94">
        <f t="shared" si="16"/>
        <v>880</v>
      </c>
      <c r="I29" s="94">
        <f t="shared" si="16"/>
        <v>880</v>
      </c>
      <c r="J29" s="94">
        <f t="shared" si="16"/>
        <v>880</v>
      </c>
      <c r="K29" s="94">
        <f t="shared" si="16"/>
        <v>880</v>
      </c>
      <c r="L29" s="94">
        <f t="shared" si="16"/>
        <v>880</v>
      </c>
      <c r="M29" s="94">
        <f t="shared" si="16"/>
        <v>880</v>
      </c>
      <c r="N29" s="94">
        <f t="shared" si="16"/>
        <v>880</v>
      </c>
      <c r="O29" s="94">
        <f t="shared" si="16"/>
        <v>880</v>
      </c>
      <c r="P29" s="94">
        <f t="shared" si="16"/>
        <v>880</v>
      </c>
      <c r="Q29" s="94">
        <f t="shared" si="16"/>
        <v>880</v>
      </c>
      <c r="R29" s="94">
        <f t="shared" si="16"/>
        <v>880</v>
      </c>
      <c r="U29" s="124" t="s">
        <v>267</v>
      </c>
      <c r="V29" s="94" t="s">
        <v>133</v>
      </c>
      <c r="W29" s="104">
        <f>W25/$W$8</f>
        <v>0.42777777777777776</v>
      </c>
    </row>
    <row r="30" spans="1:24" ht="18">
      <c r="A30" s="103" t="s">
        <v>186</v>
      </c>
      <c r="B30" s="95" t="s">
        <v>65</v>
      </c>
      <c r="C30" s="96" t="s">
        <v>141</v>
      </c>
      <c r="D30" s="94">
        <f t="shared" ref="D30:R30" si="17">330*2</f>
        <v>660</v>
      </c>
      <c r="E30" s="94">
        <f t="shared" si="17"/>
        <v>660</v>
      </c>
      <c r="F30" s="94">
        <f t="shared" si="17"/>
        <v>660</v>
      </c>
      <c r="G30" s="94">
        <f t="shared" si="17"/>
        <v>660</v>
      </c>
      <c r="H30" s="94">
        <f t="shared" si="17"/>
        <v>660</v>
      </c>
      <c r="I30" s="94">
        <f t="shared" si="17"/>
        <v>660</v>
      </c>
      <c r="J30" s="94">
        <f t="shared" si="17"/>
        <v>660</v>
      </c>
      <c r="K30" s="94">
        <f t="shared" si="17"/>
        <v>660</v>
      </c>
      <c r="L30" s="94">
        <f t="shared" si="17"/>
        <v>660</v>
      </c>
      <c r="M30" s="94">
        <f t="shared" si="17"/>
        <v>660</v>
      </c>
      <c r="N30" s="94">
        <f t="shared" si="17"/>
        <v>660</v>
      </c>
      <c r="O30" s="94">
        <f t="shared" si="17"/>
        <v>660</v>
      </c>
      <c r="P30" s="94">
        <f t="shared" si="17"/>
        <v>660</v>
      </c>
      <c r="Q30" s="94">
        <f t="shared" si="17"/>
        <v>660</v>
      </c>
      <c r="R30" s="94">
        <f t="shared" si="17"/>
        <v>660</v>
      </c>
      <c r="U30" s="125" t="s">
        <v>272</v>
      </c>
    </row>
    <row r="31" spans="1:24">
      <c r="A31" s="107"/>
      <c r="B31" s="91"/>
    </row>
    <row r="32" spans="1:24" ht="30">
      <c r="A32" s="94"/>
      <c r="B32" s="100" t="s">
        <v>142</v>
      </c>
    </row>
    <row r="33" spans="1:18">
      <c r="A33" s="107" t="s">
        <v>143</v>
      </c>
      <c r="B33" s="95" t="s">
        <v>177</v>
      </c>
    </row>
    <row r="34" spans="1:18" ht="16.5">
      <c r="A34" s="94"/>
      <c r="B34" s="91" t="s">
        <v>193</v>
      </c>
      <c r="C34" s="96" t="s">
        <v>194</v>
      </c>
      <c r="D34" s="94">
        <v>129</v>
      </c>
      <c r="E34" s="94">
        <v>129</v>
      </c>
      <c r="F34" s="94">
        <v>129</v>
      </c>
      <c r="G34" s="94">
        <v>129</v>
      </c>
      <c r="H34" s="94">
        <v>129</v>
      </c>
      <c r="I34" s="94">
        <v>129</v>
      </c>
      <c r="J34" s="94">
        <v>129</v>
      </c>
      <c r="K34" s="94">
        <v>129</v>
      </c>
      <c r="L34" s="94">
        <v>129</v>
      </c>
      <c r="M34" s="94">
        <v>129</v>
      </c>
      <c r="N34" s="94">
        <v>129</v>
      </c>
      <c r="O34" s="94">
        <v>129</v>
      </c>
      <c r="P34" s="94">
        <v>129</v>
      </c>
      <c r="Q34" s="94">
        <v>129</v>
      </c>
      <c r="R34" s="94">
        <v>129</v>
      </c>
    </row>
    <row r="35" spans="1:18" ht="30">
      <c r="A35" s="94"/>
      <c r="B35" s="100" t="s">
        <v>189</v>
      </c>
      <c r="C35" s="96" t="s">
        <v>286</v>
      </c>
      <c r="D35" s="105">
        <f t="shared" ref="D35:R35" si="18">((D24*D28*D34)+(D25*D29*D34)+(D26*D30*D34))/10^6</f>
        <v>256.00278330000003</v>
      </c>
      <c r="E35" s="105">
        <f t="shared" si="18"/>
        <v>264.40581750000001</v>
      </c>
      <c r="F35" s="105">
        <f t="shared" si="18"/>
        <v>317.28698100000003</v>
      </c>
      <c r="G35" s="105">
        <f t="shared" si="18"/>
        <v>317.28698100000003</v>
      </c>
      <c r="H35" s="105">
        <f t="shared" si="18"/>
        <v>317.28698100000003</v>
      </c>
      <c r="I35" s="105">
        <f t="shared" si="18"/>
        <v>317.28698100000003</v>
      </c>
      <c r="J35" s="105">
        <f t="shared" si="18"/>
        <v>317.28698100000003</v>
      </c>
      <c r="K35" s="105">
        <f t="shared" si="18"/>
        <v>317.28698100000003</v>
      </c>
      <c r="L35" s="105">
        <f t="shared" si="18"/>
        <v>317.28698100000003</v>
      </c>
      <c r="M35" s="105">
        <f t="shared" si="18"/>
        <v>317.28698100000003</v>
      </c>
      <c r="N35" s="105">
        <f t="shared" si="18"/>
        <v>317.28698100000003</v>
      </c>
      <c r="O35" s="105">
        <f t="shared" si="18"/>
        <v>317.28698100000003</v>
      </c>
      <c r="P35" s="105">
        <f t="shared" si="18"/>
        <v>317.28698100000003</v>
      </c>
      <c r="Q35" s="105">
        <f t="shared" si="18"/>
        <v>317.28698100000003</v>
      </c>
      <c r="R35" s="105">
        <f t="shared" si="18"/>
        <v>317.28698100000003</v>
      </c>
    </row>
    <row r="37" spans="1:18" ht="18">
      <c r="A37" s="94"/>
      <c r="B37" s="100" t="s">
        <v>312</v>
      </c>
      <c r="C37" s="96" t="s">
        <v>311</v>
      </c>
      <c r="D37" s="104">
        <v>14.95</v>
      </c>
      <c r="E37" s="104">
        <v>14.95</v>
      </c>
      <c r="F37" s="104">
        <v>14.95</v>
      </c>
      <c r="G37" s="104">
        <v>14.95</v>
      </c>
      <c r="H37" s="104">
        <v>14.95</v>
      </c>
      <c r="I37" s="104">
        <v>14.95</v>
      </c>
      <c r="J37" s="104">
        <v>14.95</v>
      </c>
      <c r="K37" s="104">
        <v>14.95</v>
      </c>
      <c r="L37" s="104">
        <v>14.95</v>
      </c>
      <c r="M37" s="104">
        <v>14.95</v>
      </c>
      <c r="N37" s="104">
        <v>14.95</v>
      </c>
      <c r="O37" s="104">
        <v>14.95</v>
      </c>
      <c r="P37" s="104">
        <v>14.95</v>
      </c>
      <c r="Q37" s="104">
        <v>14.95</v>
      </c>
      <c r="R37" s="104">
        <v>14.95</v>
      </c>
    </row>
    <row r="38" spans="1:18" ht="30">
      <c r="A38" s="94"/>
      <c r="B38" s="100" t="s">
        <v>190</v>
      </c>
      <c r="C38" s="96" t="s">
        <v>146</v>
      </c>
      <c r="D38" s="105">
        <f>(D37*D2)*0.001</f>
        <v>79.249949999999998</v>
      </c>
      <c r="E38" s="105">
        <f t="shared" ref="E38:R38" si="19">(E37*E2)*0.001</f>
        <v>81.851250000000007</v>
      </c>
      <c r="F38" s="105">
        <f t="shared" si="19"/>
        <v>98.221500000000006</v>
      </c>
      <c r="G38" s="105">
        <f t="shared" si="19"/>
        <v>98.221500000000006</v>
      </c>
      <c r="H38" s="105">
        <f t="shared" si="19"/>
        <v>98.221500000000006</v>
      </c>
      <c r="I38" s="105">
        <f t="shared" si="19"/>
        <v>98.221500000000006</v>
      </c>
      <c r="J38" s="105">
        <f t="shared" si="19"/>
        <v>98.221500000000006</v>
      </c>
      <c r="K38" s="105">
        <f t="shared" si="19"/>
        <v>98.221500000000006</v>
      </c>
      <c r="L38" s="105">
        <f t="shared" si="19"/>
        <v>98.221500000000006</v>
      </c>
      <c r="M38" s="105">
        <f t="shared" si="19"/>
        <v>98.221500000000006</v>
      </c>
      <c r="N38" s="105">
        <f t="shared" si="19"/>
        <v>98.221500000000006</v>
      </c>
      <c r="O38" s="105">
        <f t="shared" si="19"/>
        <v>98.221500000000006</v>
      </c>
      <c r="P38" s="105">
        <f t="shared" si="19"/>
        <v>98.221500000000006</v>
      </c>
      <c r="Q38" s="105">
        <f t="shared" si="19"/>
        <v>98.221500000000006</v>
      </c>
      <c r="R38" s="105">
        <f t="shared" si="19"/>
        <v>98.221500000000006</v>
      </c>
    </row>
    <row r="39" spans="1:18" ht="16.5">
      <c r="A39" s="94"/>
      <c r="B39" s="100" t="s">
        <v>144</v>
      </c>
      <c r="C39" s="96" t="s">
        <v>191</v>
      </c>
      <c r="D39" s="94">
        <f>BE_materials!D12</f>
        <v>332.5</v>
      </c>
      <c r="E39" s="94">
        <f>BE_materials!E12</f>
        <v>335.6</v>
      </c>
      <c r="F39" s="94">
        <f>BE_materials!F12</f>
        <v>334.05</v>
      </c>
      <c r="G39" s="94">
        <f>BE_materials!G12</f>
        <v>334.05</v>
      </c>
      <c r="H39" s="94">
        <f>BE_materials!H12</f>
        <v>334.05</v>
      </c>
      <c r="I39" s="94">
        <f>BE_materials!I12</f>
        <v>334.05</v>
      </c>
      <c r="J39" s="94">
        <f>BE_materials!J12</f>
        <v>334.05</v>
      </c>
      <c r="K39" s="94">
        <f>BE_materials!K12</f>
        <v>334.05</v>
      </c>
      <c r="L39" s="94">
        <f>BE_materials!L12</f>
        <v>334.05</v>
      </c>
      <c r="M39" s="94">
        <f>BE_materials!M12</f>
        <v>334.05</v>
      </c>
      <c r="N39" s="94">
        <f>BE_materials!N12</f>
        <v>334.05</v>
      </c>
      <c r="O39" s="94">
        <f>BE_materials!O12</f>
        <v>334.05</v>
      </c>
      <c r="P39" s="94">
        <f>BE_materials!P12</f>
        <v>334.05</v>
      </c>
      <c r="Q39" s="94">
        <f>BE_materials!Q12</f>
        <v>334.05</v>
      </c>
      <c r="R39" s="94">
        <f>BE_materials!R12</f>
        <v>334.05</v>
      </c>
    </row>
    <row r="40" spans="1:18" ht="16.5">
      <c r="A40" s="89" t="s">
        <v>138</v>
      </c>
      <c r="B40" s="100" t="s">
        <v>145</v>
      </c>
      <c r="C40" s="96" t="s">
        <v>286</v>
      </c>
      <c r="D40" s="104">
        <f t="shared" ref="D40:R40" si="20">D38*D39*0.001</f>
        <v>26.350608375</v>
      </c>
      <c r="E40" s="104">
        <f t="shared" si="20"/>
        <v>27.469279500000006</v>
      </c>
      <c r="F40" s="104">
        <f t="shared" si="20"/>
        <v>32.810892075000005</v>
      </c>
      <c r="G40" s="104">
        <f t="shared" si="20"/>
        <v>32.810892075000005</v>
      </c>
      <c r="H40" s="104">
        <f t="shared" si="20"/>
        <v>32.810892075000005</v>
      </c>
      <c r="I40" s="104">
        <f t="shared" si="20"/>
        <v>32.810892075000005</v>
      </c>
      <c r="J40" s="104">
        <f t="shared" si="20"/>
        <v>32.810892075000005</v>
      </c>
      <c r="K40" s="104">
        <f t="shared" si="20"/>
        <v>32.810892075000005</v>
      </c>
      <c r="L40" s="104">
        <f t="shared" si="20"/>
        <v>32.810892075000005</v>
      </c>
      <c r="M40" s="104">
        <f t="shared" si="20"/>
        <v>32.810892075000005</v>
      </c>
      <c r="N40" s="104">
        <f t="shared" si="20"/>
        <v>32.810892075000005</v>
      </c>
      <c r="O40" s="104">
        <f t="shared" si="20"/>
        <v>32.810892075000005</v>
      </c>
      <c r="P40" s="104">
        <f t="shared" si="20"/>
        <v>32.810892075000005</v>
      </c>
      <c r="Q40" s="104">
        <f t="shared" si="20"/>
        <v>32.810892075000005</v>
      </c>
      <c r="R40" s="104">
        <f t="shared" si="20"/>
        <v>32.810892075000005</v>
      </c>
    </row>
    <row r="42" spans="1:18" ht="16.5">
      <c r="A42" s="94"/>
      <c r="B42" s="100" t="s">
        <v>192</v>
      </c>
      <c r="C42" s="96" t="s">
        <v>286</v>
      </c>
      <c r="D42" s="105">
        <f>D40+D35+D20</f>
        <v>1892.1263030050002</v>
      </c>
      <c r="E42" s="105">
        <f t="shared" ref="E42:R42" si="21">E40+E35+E20</f>
        <v>1955.3613462666667</v>
      </c>
      <c r="F42" s="105">
        <f t="shared" si="21"/>
        <v>2345.756876685</v>
      </c>
      <c r="G42" s="105">
        <f t="shared" si="21"/>
        <v>2345.756876685</v>
      </c>
      <c r="H42" s="105">
        <f t="shared" si="21"/>
        <v>2345.756876685</v>
      </c>
      <c r="I42" s="105">
        <f t="shared" si="21"/>
        <v>2345.756876685</v>
      </c>
      <c r="J42" s="105">
        <f t="shared" si="21"/>
        <v>2345.756876685</v>
      </c>
      <c r="K42" s="105">
        <f t="shared" si="21"/>
        <v>2345.756876685</v>
      </c>
      <c r="L42" s="105">
        <f t="shared" si="21"/>
        <v>2345.756876685</v>
      </c>
      <c r="M42" s="105">
        <f t="shared" si="21"/>
        <v>2345.756876685</v>
      </c>
      <c r="N42" s="105">
        <f t="shared" si="21"/>
        <v>2345.756876685</v>
      </c>
      <c r="O42" s="105">
        <f t="shared" si="21"/>
        <v>2345.756876685</v>
      </c>
      <c r="P42" s="105">
        <f t="shared" si="21"/>
        <v>2345.756876685</v>
      </c>
      <c r="Q42" s="105">
        <f t="shared" si="21"/>
        <v>2345.756876685</v>
      </c>
      <c r="R42" s="105">
        <f t="shared" si="21"/>
        <v>2345.756876685</v>
      </c>
    </row>
  </sheetData>
  <phoneticPr fontId="24" type="noConversion"/>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61149-C099-435E-A7DE-95FF8A4BD167}">
  <sheetPr>
    <tabColor theme="9" tint="0.39997558519241921"/>
  </sheetPr>
  <dimension ref="A1:T12"/>
  <sheetViews>
    <sheetView tabSelected="1" zoomScaleNormal="100" workbookViewId="0">
      <selection activeCell="B14" sqref="B14"/>
    </sheetView>
  </sheetViews>
  <sheetFormatPr defaultColWidth="9" defaultRowHeight="15"/>
  <cols>
    <col min="1" max="1" width="21.125" style="90" customWidth="1"/>
    <col min="2" max="2" width="48.5" style="91" customWidth="1"/>
    <col min="3" max="3" width="13.125" style="90" bestFit="1" customWidth="1"/>
    <col min="4" max="4" width="11.625" style="90" bestFit="1" customWidth="1"/>
    <col min="5" max="18" width="10.375" style="90" bestFit="1" customWidth="1"/>
    <col min="19" max="19" width="12.375" style="90" customWidth="1"/>
    <col min="20" max="16384" width="9" style="90"/>
  </cols>
  <sheetData>
    <row r="1" spans="1:20" ht="30.75" customHeight="1" thickBot="1">
      <c r="C1" s="92" t="s">
        <v>178</v>
      </c>
      <c r="D1" s="93">
        <v>2024</v>
      </c>
      <c r="E1" s="93">
        <f t="shared" ref="E1:R1" si="0">D1+1</f>
        <v>2025</v>
      </c>
      <c r="F1" s="93">
        <f t="shared" si="0"/>
        <v>2026</v>
      </c>
      <c r="G1" s="93">
        <f t="shared" si="0"/>
        <v>2027</v>
      </c>
      <c r="H1" s="93">
        <f t="shared" si="0"/>
        <v>2028</v>
      </c>
      <c r="I1" s="93">
        <f t="shared" si="0"/>
        <v>2029</v>
      </c>
      <c r="J1" s="93">
        <f t="shared" si="0"/>
        <v>2030</v>
      </c>
      <c r="K1" s="93">
        <f t="shared" si="0"/>
        <v>2031</v>
      </c>
      <c r="L1" s="93">
        <f t="shared" si="0"/>
        <v>2032</v>
      </c>
      <c r="M1" s="93">
        <f t="shared" si="0"/>
        <v>2033</v>
      </c>
      <c r="N1" s="93">
        <f t="shared" si="0"/>
        <v>2034</v>
      </c>
      <c r="O1" s="93">
        <f t="shared" si="0"/>
        <v>2035</v>
      </c>
      <c r="P1" s="93">
        <f t="shared" si="0"/>
        <v>2036</v>
      </c>
      <c r="Q1" s="93">
        <f t="shared" si="0"/>
        <v>2037</v>
      </c>
      <c r="R1" s="128">
        <f t="shared" si="0"/>
        <v>2038</v>
      </c>
      <c r="S1" s="132" t="s">
        <v>123</v>
      </c>
    </row>
    <row r="2" spans="1:20" ht="42" customHeight="1" thickBot="1">
      <c r="A2"/>
      <c r="B2" s="95" t="s">
        <v>308</v>
      </c>
      <c r="C2" s="96" t="s">
        <v>286</v>
      </c>
      <c r="D2" s="97">
        <f>'BE_chippedwood,y'!C6</f>
        <v>-2227.2174665487282</v>
      </c>
      <c r="E2" s="97">
        <f>'BE_chippedwood,y'!D6-'BE_chippedwood,y'!C6</f>
        <v>-1840.8498507190848</v>
      </c>
      <c r="F2" s="97">
        <f>'BE_chippedwood,y'!E6-'BE_chippedwood,y'!D6</f>
        <v>-1921.1482232909116</v>
      </c>
      <c r="G2" s="97">
        <f>'BE_chippedwood,y'!F6-'BE_chippedwood,y'!E6</f>
        <v>-1524.8163553194154</v>
      </c>
      <c r="H2" s="97">
        <f>'BE_chippedwood,y'!G6-'BE_chippedwood,y'!F6</f>
        <v>-1210.247543246177</v>
      </c>
      <c r="I2" s="97">
        <f>'BE_chippedwood,y'!H6-'BE_chippedwood,y'!G6</f>
        <v>-960.57411164545556</v>
      </c>
      <c r="J2" s="97">
        <f>'BE_chippedwood,y'!I6-'BE_chippedwood,y'!H6</f>
        <v>-762.4081776597086</v>
      </c>
      <c r="K2" s="97">
        <f>'BE_chippedwood,y'!J6-'BE_chippedwood,y'!I6</f>
        <v>-605.12377162309167</v>
      </c>
      <c r="L2" s="97">
        <f>'BE_chippedwood,y'!K6-'BE_chippedwood,y'!J6</f>
        <v>-480.28705582272778</v>
      </c>
      <c r="M2" s="97">
        <f>'BE_chippedwood,y'!L6-'BE_chippedwood,y'!K6</f>
        <v>-381.2040888298543</v>
      </c>
      <c r="N2" s="97">
        <f>'BE_chippedwood,y'!M6-'BE_chippedwood,y'!L6</f>
        <v>-302.56188581154493</v>
      </c>
      <c r="O2" s="97">
        <f>'BE_chippedwood,y'!N6-'BE_chippedwood,y'!M6</f>
        <v>-240.14352791136116</v>
      </c>
      <c r="P2" s="97">
        <f>'BE_chippedwood,y'!O6-'BE_chippedwood,y'!N6</f>
        <v>-190.60204441492897</v>
      </c>
      <c r="Q2" s="97">
        <f>'BE_chippedwood,y'!P6-'BE_chippedwood,y'!O6</f>
        <v>-151.28094290577064</v>
      </c>
      <c r="R2" s="129">
        <f>'BE_chippedwood,y'!Q6-'BE_chippedwood,y'!P6</f>
        <v>-120.0717639556824</v>
      </c>
      <c r="S2" s="133">
        <f>SUM(D2:R2)</f>
        <v>-12918.536809704443</v>
      </c>
    </row>
    <row r="3" spans="1:20" ht="29.25" customHeight="1" thickBot="1">
      <c r="A3"/>
      <c r="B3" s="95" t="s">
        <v>306</v>
      </c>
      <c r="C3" s="96" t="s">
        <v>286</v>
      </c>
      <c r="D3" s="97">
        <f>D2+'BE_chippedwood,y'!C4*44/12</f>
        <v>267.19753345127174</v>
      </c>
      <c r="E3" s="97">
        <f>E2+'BE_chippedwood,y'!D4*44/12</f>
        <v>735.44181594758174</v>
      </c>
      <c r="F3" s="97">
        <f>F2+'BE_chippedwood,y'!E4*44/12</f>
        <v>1170.4017767090882</v>
      </c>
      <c r="G3" s="97">
        <f>G2+'BE_chippedwood,y'!F4*44/12</f>
        <v>1566.7336446805843</v>
      </c>
      <c r="H3" s="97">
        <f>H2+'BE_chippedwood,y'!G4*44/12</f>
        <v>1881.3024567538228</v>
      </c>
      <c r="I3" s="97">
        <f>I2+'BE_chippedwood,y'!H4*44/12</f>
        <v>2130.9758883545442</v>
      </c>
      <c r="J3" s="97">
        <f>J2+'BE_chippedwood,y'!I4*44/12</f>
        <v>2329.1418223402911</v>
      </c>
      <c r="K3" s="97">
        <f>K2+'BE_chippedwood,y'!J4*44/12</f>
        <v>2486.4262283769081</v>
      </c>
      <c r="L3" s="97">
        <f>L2+'BE_chippedwood,y'!K4*44/12</f>
        <v>2611.2629441772719</v>
      </c>
      <c r="M3" s="97">
        <f>M2+'BE_chippedwood,y'!L4*44/12</f>
        <v>2710.3459111701454</v>
      </c>
      <c r="N3" s="97">
        <f>N2+'BE_chippedwood,y'!M4*44/12</f>
        <v>2788.9881141884548</v>
      </c>
      <c r="O3" s="97">
        <f>O2+'BE_chippedwood,y'!N4*44/12</f>
        <v>2851.4064720886386</v>
      </c>
      <c r="P3" s="97">
        <f>P2+'BE_chippedwood,y'!O4*44/12</f>
        <v>2900.9479555850708</v>
      </c>
      <c r="Q3" s="97">
        <f>Q2+'BE_chippedwood,y'!P4*44/12</f>
        <v>2940.2690570942291</v>
      </c>
      <c r="R3" s="129">
        <f>R2+'BE_chippedwood,y'!Q4*44/12</f>
        <v>2971.4782360443173</v>
      </c>
      <c r="S3" s="133">
        <f>SUM(D3:R3)</f>
        <v>32342.319856962218</v>
      </c>
    </row>
    <row r="4" spans="1:20" ht="29.25" customHeight="1" thickBot="1">
      <c r="A4"/>
      <c r="B4" s="95" t="s">
        <v>307</v>
      </c>
      <c r="C4" s="96" t="s">
        <v>286</v>
      </c>
      <c r="D4" s="97">
        <f t="shared" ref="D4:R4" si="1">D2-D3</f>
        <v>-2494.415</v>
      </c>
      <c r="E4" s="97">
        <f t="shared" si="1"/>
        <v>-2576.2916666666665</v>
      </c>
      <c r="F4" s="97">
        <f t="shared" si="1"/>
        <v>-3091.5499999999997</v>
      </c>
      <c r="G4" s="97">
        <f t="shared" si="1"/>
        <v>-3091.5499999999997</v>
      </c>
      <c r="H4" s="97">
        <f t="shared" si="1"/>
        <v>-3091.5499999999997</v>
      </c>
      <c r="I4" s="97">
        <f t="shared" si="1"/>
        <v>-3091.5499999999997</v>
      </c>
      <c r="J4" s="97">
        <f t="shared" si="1"/>
        <v>-3091.5499999999997</v>
      </c>
      <c r="K4" s="97">
        <f t="shared" si="1"/>
        <v>-3091.5499999999997</v>
      </c>
      <c r="L4" s="97">
        <f t="shared" si="1"/>
        <v>-3091.5499999999997</v>
      </c>
      <c r="M4" s="97">
        <f t="shared" si="1"/>
        <v>-3091.5499999999997</v>
      </c>
      <c r="N4" s="97">
        <f t="shared" si="1"/>
        <v>-3091.5499999999997</v>
      </c>
      <c r="O4" s="97">
        <f t="shared" si="1"/>
        <v>-3091.5499999999997</v>
      </c>
      <c r="P4" s="97">
        <f t="shared" si="1"/>
        <v>-3091.5499999999997</v>
      </c>
      <c r="Q4" s="97">
        <f t="shared" si="1"/>
        <v>-3091.5499999999997</v>
      </c>
      <c r="R4" s="129">
        <f t="shared" si="1"/>
        <v>-3091.5499999999997</v>
      </c>
      <c r="S4" s="133">
        <f>SUM(D4:R4)</f>
        <v>-45260.856666666674</v>
      </c>
    </row>
    <row r="5" spans="1:20" ht="29.25" customHeight="1" thickBot="1">
      <c r="A5" s="94"/>
      <c r="B5" s="95" t="s">
        <v>176</v>
      </c>
      <c r="C5" s="96" t="s">
        <v>286</v>
      </c>
      <c r="D5" s="98">
        <f>BE_materials!D49</f>
        <v>2132.9036581906003</v>
      </c>
      <c r="E5" s="98">
        <f>BE_materials!E49</f>
        <v>2206.8946068740352</v>
      </c>
      <c r="F5" s="98">
        <f>BE_materials!F49</f>
        <v>2645.8852110506841</v>
      </c>
      <c r="G5" s="98">
        <f>BE_materials!G49</f>
        <v>2645.8852110506841</v>
      </c>
      <c r="H5" s="98">
        <f>BE_materials!H49</f>
        <v>2645.8852110506841</v>
      </c>
      <c r="I5" s="98">
        <f>BE_materials!I49</f>
        <v>2645.8852110506841</v>
      </c>
      <c r="J5" s="98">
        <f>BE_materials!J49</f>
        <v>2645.8852110506841</v>
      </c>
      <c r="K5" s="98">
        <f>BE_materials!K49</f>
        <v>2645.8852110506841</v>
      </c>
      <c r="L5" s="98">
        <f>BE_materials!L49</f>
        <v>2645.8852110506841</v>
      </c>
      <c r="M5" s="98">
        <f>BE_materials!M49</f>
        <v>2645.8852110506841</v>
      </c>
      <c r="N5" s="98">
        <f>BE_materials!N49</f>
        <v>2645.8852110506841</v>
      </c>
      <c r="O5" s="98">
        <f>BE_materials!O49</f>
        <v>2645.8852110506841</v>
      </c>
      <c r="P5" s="98">
        <f>BE_materials!P49</f>
        <v>2645.8852110506841</v>
      </c>
      <c r="Q5" s="98">
        <f>BE_materials!Q49</f>
        <v>2645.8852110506841</v>
      </c>
      <c r="R5" s="130">
        <f>BE_materials!R49</f>
        <v>2645.8852110506841</v>
      </c>
      <c r="S5" s="133">
        <f>SUM(D5:R5)</f>
        <v>38736.306008723535</v>
      </c>
    </row>
    <row r="6" spans="1:20" ht="17.25" thickBot="1">
      <c r="A6" s="94"/>
      <c r="B6" s="95" t="s">
        <v>179</v>
      </c>
      <c r="C6" s="96" t="s">
        <v>286</v>
      </c>
      <c r="D6" s="97">
        <f>D2+D5</f>
        <v>-94.313808358127972</v>
      </c>
      <c r="E6" s="97">
        <f t="shared" ref="E6:R6" si="2">E2+E5</f>
        <v>366.04475615495039</v>
      </c>
      <c r="F6" s="97">
        <f t="shared" si="2"/>
        <v>724.73698775977255</v>
      </c>
      <c r="G6" s="97">
        <f t="shared" si="2"/>
        <v>1121.0688557312687</v>
      </c>
      <c r="H6" s="97">
        <f t="shared" si="2"/>
        <v>1435.6376678045071</v>
      </c>
      <c r="I6" s="97">
        <f t="shared" si="2"/>
        <v>1685.3110994052286</v>
      </c>
      <c r="J6" s="97">
        <f t="shared" si="2"/>
        <v>1883.4770333909755</v>
      </c>
      <c r="K6" s="97">
        <f t="shared" si="2"/>
        <v>2040.7614394275924</v>
      </c>
      <c r="L6" s="97">
        <f t="shared" si="2"/>
        <v>2165.5981552279563</v>
      </c>
      <c r="M6" s="97">
        <f t="shared" si="2"/>
        <v>2264.6811222208298</v>
      </c>
      <c r="N6" s="97">
        <f t="shared" si="2"/>
        <v>2343.3233252391392</v>
      </c>
      <c r="O6" s="97">
        <f t="shared" si="2"/>
        <v>2405.741683139323</v>
      </c>
      <c r="P6" s="97">
        <f t="shared" si="2"/>
        <v>2455.2831666357552</v>
      </c>
      <c r="Q6" s="97">
        <f t="shared" si="2"/>
        <v>2494.6042681449135</v>
      </c>
      <c r="R6" s="129">
        <f t="shared" si="2"/>
        <v>2525.8134470950017</v>
      </c>
      <c r="S6" s="133">
        <f>SUM(D6:R6)</f>
        <v>25817.769199019091</v>
      </c>
    </row>
    <row r="7" spans="1:20" ht="15.75" thickBot="1"/>
    <row r="8" spans="1:20" ht="30.75" thickBot="1">
      <c r="A8"/>
      <c r="B8" s="95" t="s">
        <v>294</v>
      </c>
      <c r="C8" s="96" t="s">
        <v>286</v>
      </c>
      <c r="D8" s="99">
        <f>'PE_chippedwood,y'!C6</f>
        <v>-2494.415</v>
      </c>
      <c r="E8" s="99">
        <f>'PE_chippedwood,y'!D6-'PE_chippedwood,y'!C6</f>
        <v>-2576.291666666667</v>
      </c>
      <c r="F8" s="99">
        <f>'PE_chippedwood,y'!E6-'PE_chippedwood,y'!D6</f>
        <v>-3091.55</v>
      </c>
      <c r="G8" s="99">
        <f>'PE_chippedwood,y'!F6-'PE_chippedwood,y'!E6</f>
        <v>-3091.550000000002</v>
      </c>
      <c r="H8" s="99">
        <f>'PE_chippedwood,y'!G6-'PE_chippedwood,y'!F6</f>
        <v>-3091.5499999999993</v>
      </c>
      <c r="I8" s="99">
        <f>'PE_chippedwood,y'!H6-'PE_chippedwood,y'!G6</f>
        <v>-3091.5499999999975</v>
      </c>
      <c r="J8" s="99">
        <f>'PE_chippedwood,y'!I6-'PE_chippedwood,y'!H6</f>
        <v>-3091.5500000000029</v>
      </c>
      <c r="K8" s="99">
        <f>'PE_chippedwood,y'!J6-'PE_chippedwood,y'!I6</f>
        <v>-3091.5499999999956</v>
      </c>
      <c r="L8" s="99">
        <f>'PE_chippedwood,y'!K6-'PE_chippedwood,y'!J6</f>
        <v>-3091.5500000000029</v>
      </c>
      <c r="M8" s="99">
        <f>'PE_chippedwood,y'!L6-'PE_chippedwood,y'!K6</f>
        <v>-3091.5499999999956</v>
      </c>
      <c r="N8" s="99">
        <f>'PE_chippedwood,y'!M6-'PE_chippedwood,y'!L6</f>
        <v>-3091.5499999999993</v>
      </c>
      <c r="O8" s="99">
        <f>'PE_chippedwood,y'!N6-'PE_chippedwood,y'!M6</f>
        <v>-3091.5499999999956</v>
      </c>
      <c r="P8" s="99">
        <f>'PE_chippedwood,y'!O6-'PE_chippedwood,y'!N6</f>
        <v>-3091.5500000000029</v>
      </c>
      <c r="Q8" s="99">
        <f>'PE_chippedwood,y'!P6-'PE_chippedwood,y'!O6</f>
        <v>-3091.5499999999956</v>
      </c>
      <c r="R8" s="131">
        <f>'PE_chippedwood,y'!Q6-'PE_chippedwood,y'!P6</f>
        <v>-3091.5500000000029</v>
      </c>
      <c r="S8" s="133">
        <f>SUM(D8:R8)</f>
        <v>-45260.856666666659</v>
      </c>
    </row>
    <row r="9" spans="1:20" ht="30.75" thickBot="1">
      <c r="A9" s="94"/>
      <c r="B9" s="95" t="s">
        <v>180</v>
      </c>
      <c r="C9" s="96" t="s">
        <v>286</v>
      </c>
      <c r="D9" s="99">
        <f>PE_materials!D42</f>
        <v>1892.1263030050002</v>
      </c>
      <c r="E9" s="99">
        <f>PE_materials!E42</f>
        <v>1955.3613462666667</v>
      </c>
      <c r="F9" s="99">
        <f>PE_materials!F42</f>
        <v>2345.756876685</v>
      </c>
      <c r="G9" s="99">
        <f>PE_materials!G42</f>
        <v>2345.756876685</v>
      </c>
      <c r="H9" s="99">
        <f>PE_materials!H42</f>
        <v>2345.756876685</v>
      </c>
      <c r="I9" s="99">
        <f>PE_materials!I42</f>
        <v>2345.756876685</v>
      </c>
      <c r="J9" s="99">
        <f>PE_materials!J42</f>
        <v>2345.756876685</v>
      </c>
      <c r="K9" s="99">
        <f>PE_materials!K42</f>
        <v>2345.756876685</v>
      </c>
      <c r="L9" s="99">
        <f>PE_materials!L42</f>
        <v>2345.756876685</v>
      </c>
      <c r="M9" s="99">
        <f>PE_materials!M42</f>
        <v>2345.756876685</v>
      </c>
      <c r="N9" s="99">
        <f>PE_materials!N42</f>
        <v>2345.756876685</v>
      </c>
      <c r="O9" s="99">
        <f>PE_materials!O42</f>
        <v>2345.756876685</v>
      </c>
      <c r="P9" s="99">
        <f>PE_materials!P42</f>
        <v>2345.756876685</v>
      </c>
      <c r="Q9" s="99">
        <f>PE_materials!Q42</f>
        <v>2345.756876685</v>
      </c>
      <c r="R9" s="131">
        <f>PE_materials!R42</f>
        <v>2345.756876685</v>
      </c>
      <c r="S9" s="133">
        <f>SUM(D9:R9)</f>
        <v>34342.327046176681</v>
      </c>
    </row>
    <row r="10" spans="1:20" ht="17.25" thickBot="1">
      <c r="A10" s="94"/>
      <c r="B10" s="95" t="s">
        <v>181</v>
      </c>
      <c r="C10" s="96" t="s">
        <v>286</v>
      </c>
      <c r="D10" s="99">
        <f t="shared" ref="D10:R10" si="3">D8+D9</f>
        <v>-602.28869699499978</v>
      </c>
      <c r="E10" s="99">
        <f t="shared" si="3"/>
        <v>-620.93032040000026</v>
      </c>
      <c r="F10" s="99">
        <f t="shared" si="3"/>
        <v>-745.79312331500023</v>
      </c>
      <c r="G10" s="99">
        <f t="shared" si="3"/>
        <v>-745.79312331500205</v>
      </c>
      <c r="H10" s="99">
        <f t="shared" si="3"/>
        <v>-745.79312331499932</v>
      </c>
      <c r="I10" s="99">
        <f t="shared" si="3"/>
        <v>-745.7931233149975</v>
      </c>
      <c r="J10" s="99">
        <f t="shared" si="3"/>
        <v>-745.79312331500296</v>
      </c>
      <c r="K10" s="99">
        <f t="shared" si="3"/>
        <v>-745.79312331499568</v>
      </c>
      <c r="L10" s="99">
        <f t="shared" si="3"/>
        <v>-745.79312331500296</v>
      </c>
      <c r="M10" s="99">
        <f t="shared" si="3"/>
        <v>-745.79312331499568</v>
      </c>
      <c r="N10" s="99">
        <f t="shared" si="3"/>
        <v>-745.79312331499932</v>
      </c>
      <c r="O10" s="99">
        <f t="shared" si="3"/>
        <v>-745.79312331499568</v>
      </c>
      <c r="P10" s="99">
        <f t="shared" si="3"/>
        <v>-745.79312331500296</v>
      </c>
      <c r="Q10" s="99">
        <f t="shared" si="3"/>
        <v>-745.79312331499568</v>
      </c>
      <c r="R10" s="131">
        <f t="shared" si="3"/>
        <v>-745.79312331500296</v>
      </c>
      <c r="S10" s="133">
        <f>SUM(D10:R10)</f>
        <v>-10918.529620489993</v>
      </c>
    </row>
    <row r="11" spans="1:20" ht="15.75" thickBot="1"/>
    <row r="12" spans="1:20" ht="17.25" thickBot="1">
      <c r="A12" s="94"/>
      <c r="B12" s="95" t="s">
        <v>304</v>
      </c>
      <c r="C12" s="96" t="s">
        <v>286</v>
      </c>
      <c r="D12" s="97">
        <f t="shared" ref="D12:R12" si="4">D6-D10</f>
        <v>507.97488863687181</v>
      </c>
      <c r="E12" s="97">
        <f t="shared" si="4"/>
        <v>986.97507655495065</v>
      </c>
      <c r="F12" s="97">
        <f t="shared" si="4"/>
        <v>1470.5301110747728</v>
      </c>
      <c r="G12" s="97">
        <f t="shared" si="4"/>
        <v>1866.8619790462708</v>
      </c>
      <c r="H12" s="97">
        <f t="shared" si="4"/>
        <v>2181.4307911195065</v>
      </c>
      <c r="I12" s="97">
        <f t="shared" si="4"/>
        <v>2431.1042227202261</v>
      </c>
      <c r="J12" s="97">
        <f t="shared" si="4"/>
        <v>2629.2701567059785</v>
      </c>
      <c r="K12" s="97">
        <f t="shared" si="4"/>
        <v>2786.5545627425881</v>
      </c>
      <c r="L12" s="97">
        <f t="shared" si="4"/>
        <v>2911.3912785429593</v>
      </c>
      <c r="M12" s="97">
        <f t="shared" si="4"/>
        <v>3010.4742455358255</v>
      </c>
      <c r="N12" s="97">
        <f t="shared" si="4"/>
        <v>3089.1164485541385</v>
      </c>
      <c r="O12" s="97">
        <f t="shared" si="4"/>
        <v>3151.5348064543186</v>
      </c>
      <c r="P12" s="97">
        <f t="shared" si="4"/>
        <v>3201.0762899507581</v>
      </c>
      <c r="Q12" s="97">
        <f t="shared" si="4"/>
        <v>3240.3973914599092</v>
      </c>
      <c r="R12" s="129">
        <f t="shared" si="4"/>
        <v>3271.6065704100047</v>
      </c>
      <c r="S12" s="133">
        <f>SUM(D12:R12)</f>
        <v>36736.29881950908</v>
      </c>
      <c r="T12" s="114"/>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C0A2F2-917D-431A-B543-E7ACD937EAAD}">
  <dimension ref="A1:O19"/>
  <sheetViews>
    <sheetView workbookViewId="0">
      <selection activeCell="G21" sqref="G21"/>
    </sheetView>
  </sheetViews>
  <sheetFormatPr defaultColWidth="10" defaultRowHeight="14.25"/>
  <cols>
    <col min="1" max="1" width="8.125" customWidth="1"/>
    <col min="2" max="2" width="10.625" customWidth="1"/>
    <col min="3" max="5" width="19.5" customWidth="1"/>
    <col min="7" max="7" width="11" customWidth="1"/>
    <col min="8" max="8" width="8.125" customWidth="1"/>
    <col min="9" max="9" width="10.625" customWidth="1"/>
    <col min="10" max="12" width="19.5" customWidth="1"/>
    <col min="15" max="15" width="6.875" customWidth="1"/>
    <col min="16" max="16" width="58.75" customWidth="1"/>
    <col min="17" max="17" width="24" customWidth="1"/>
  </cols>
  <sheetData>
    <row r="1" spans="1:12" ht="15" thickBot="1">
      <c r="H1" s="178"/>
      <c r="I1" s="178"/>
      <c r="J1" s="178"/>
      <c r="K1" s="178"/>
      <c r="L1" s="178"/>
    </row>
    <row r="2" spans="1:12" ht="48" thickBot="1">
      <c r="A2" s="179" t="s">
        <v>236</v>
      </c>
      <c r="B2" s="179" t="s">
        <v>237</v>
      </c>
      <c r="C2" s="179" t="s">
        <v>300</v>
      </c>
      <c r="D2" s="179" t="s">
        <v>301</v>
      </c>
      <c r="E2" s="179" t="s">
        <v>302</v>
      </c>
      <c r="H2" s="179" t="s">
        <v>236</v>
      </c>
      <c r="I2" s="179" t="s">
        <v>237</v>
      </c>
      <c r="J2" s="179" t="s">
        <v>300</v>
      </c>
      <c r="K2" s="179" t="s">
        <v>301</v>
      </c>
      <c r="L2" s="179" t="s">
        <v>302</v>
      </c>
    </row>
    <row r="3" spans="1:12" ht="15" thickBot="1">
      <c r="A3" s="179">
        <v>1</v>
      </c>
      <c r="B3" s="180" cm="1">
        <f t="array" ref="B3:B17">TRANSPOSE(Результат!$D$1:$R$1)</f>
        <v>2024</v>
      </c>
      <c r="C3" s="184" cm="1">
        <f t="array" ref="C3:C17">TRANSPOSE(Результат!$D$6:$R$6)</f>
        <v>-94.313808358127972</v>
      </c>
      <c r="D3" s="184" cm="1">
        <f t="array" ref="D3:D17">TRANSPOSE(Результат!$D$10:$R$10)</f>
        <v>-602.28869699499978</v>
      </c>
      <c r="E3" s="184">
        <f t="shared" ref="E3:E17" si="0">C3-D3</f>
        <v>507.97488863687181</v>
      </c>
      <c r="H3" s="179">
        <v>1</v>
      </c>
      <c r="I3" s="180" cm="1">
        <f t="array" ref="I3:I17">TRANSPOSE(Результат!$D$1:$R$1)</f>
        <v>2024</v>
      </c>
      <c r="J3" s="181">
        <f t="shared" ref="J3:J17" si="1">ROUNDDOWN(C3,0)</f>
        <v>-94</v>
      </c>
      <c r="K3" s="181">
        <f t="shared" ref="K3:K17" si="2">ROUNDDOWN(D3,0)</f>
        <v>-602</v>
      </c>
      <c r="L3" s="181">
        <f t="shared" ref="L3:L17" si="3">J3-K3</f>
        <v>508</v>
      </c>
    </row>
    <row r="4" spans="1:12" ht="15" thickBot="1">
      <c r="A4" s="179">
        <v>2</v>
      </c>
      <c r="B4" s="180">
        <v>2025</v>
      </c>
      <c r="C4" s="184">
        <v>366.04475615495039</v>
      </c>
      <c r="D4" s="184">
        <v>-620.93032040000026</v>
      </c>
      <c r="E4" s="184">
        <f t="shared" si="0"/>
        <v>986.97507655495065</v>
      </c>
      <c r="H4" s="179">
        <v>2</v>
      </c>
      <c r="I4" s="180">
        <v>2025</v>
      </c>
      <c r="J4" s="181">
        <f t="shared" si="1"/>
        <v>366</v>
      </c>
      <c r="K4" s="181">
        <f t="shared" si="2"/>
        <v>-620</v>
      </c>
      <c r="L4" s="181">
        <f t="shared" si="3"/>
        <v>986</v>
      </c>
    </row>
    <row r="5" spans="1:12" ht="15" thickBot="1">
      <c r="A5" s="179">
        <v>3</v>
      </c>
      <c r="B5" s="180">
        <v>2026</v>
      </c>
      <c r="C5" s="184">
        <v>724.73698775977255</v>
      </c>
      <c r="D5" s="184">
        <v>-745.79312331500023</v>
      </c>
      <c r="E5" s="184">
        <f t="shared" si="0"/>
        <v>1470.5301110747728</v>
      </c>
      <c r="H5" s="179">
        <v>3</v>
      </c>
      <c r="I5" s="180">
        <v>2026</v>
      </c>
      <c r="J5" s="181">
        <f t="shared" si="1"/>
        <v>724</v>
      </c>
      <c r="K5" s="181">
        <f t="shared" si="2"/>
        <v>-745</v>
      </c>
      <c r="L5" s="181">
        <f t="shared" si="3"/>
        <v>1469</v>
      </c>
    </row>
    <row r="6" spans="1:12" ht="15" thickBot="1">
      <c r="A6" s="179">
        <v>4</v>
      </c>
      <c r="B6" s="180">
        <v>2027</v>
      </c>
      <c r="C6" s="184">
        <v>1121.0688557312687</v>
      </c>
      <c r="D6" s="184">
        <v>-745.79312331500205</v>
      </c>
      <c r="E6" s="184">
        <f t="shared" si="0"/>
        <v>1866.8619790462708</v>
      </c>
      <c r="H6" s="179">
        <v>4</v>
      </c>
      <c r="I6" s="180">
        <v>2027</v>
      </c>
      <c r="J6" s="181">
        <f t="shared" si="1"/>
        <v>1121</v>
      </c>
      <c r="K6" s="181">
        <f t="shared" si="2"/>
        <v>-745</v>
      </c>
      <c r="L6" s="181">
        <f t="shared" si="3"/>
        <v>1866</v>
      </c>
    </row>
    <row r="7" spans="1:12" ht="15" thickBot="1">
      <c r="A7" s="179">
        <v>5</v>
      </c>
      <c r="B7" s="180">
        <v>2028</v>
      </c>
      <c r="C7" s="184">
        <v>1435.6376678045071</v>
      </c>
      <c r="D7" s="184">
        <v>-745.79312331499932</v>
      </c>
      <c r="E7" s="184">
        <f t="shared" si="0"/>
        <v>2181.4307911195065</v>
      </c>
      <c r="H7" s="179">
        <v>5</v>
      </c>
      <c r="I7" s="180">
        <v>2028</v>
      </c>
      <c r="J7" s="181">
        <f t="shared" si="1"/>
        <v>1435</v>
      </c>
      <c r="K7" s="181">
        <f t="shared" si="2"/>
        <v>-745</v>
      </c>
      <c r="L7" s="181">
        <f t="shared" si="3"/>
        <v>2180</v>
      </c>
    </row>
    <row r="8" spans="1:12" ht="15" thickBot="1">
      <c r="A8" s="179">
        <v>6</v>
      </c>
      <c r="B8" s="180">
        <v>2029</v>
      </c>
      <c r="C8" s="184">
        <v>1685.3110994052286</v>
      </c>
      <c r="D8" s="184">
        <v>-745.7931233149975</v>
      </c>
      <c r="E8" s="184">
        <f t="shared" si="0"/>
        <v>2431.1042227202261</v>
      </c>
      <c r="H8" s="179">
        <v>6</v>
      </c>
      <c r="I8" s="180">
        <v>2029</v>
      </c>
      <c r="J8" s="181">
        <f t="shared" si="1"/>
        <v>1685</v>
      </c>
      <c r="K8" s="181">
        <f t="shared" si="2"/>
        <v>-745</v>
      </c>
      <c r="L8" s="181">
        <f t="shared" si="3"/>
        <v>2430</v>
      </c>
    </row>
    <row r="9" spans="1:12" ht="15" thickBot="1">
      <c r="A9" s="179">
        <v>7</v>
      </c>
      <c r="B9" s="180">
        <v>2030</v>
      </c>
      <c r="C9" s="184">
        <v>1883.4770333909755</v>
      </c>
      <c r="D9" s="184">
        <v>-745.79312331500296</v>
      </c>
      <c r="E9" s="184">
        <f t="shared" si="0"/>
        <v>2629.2701567059785</v>
      </c>
      <c r="H9" s="179">
        <v>7</v>
      </c>
      <c r="I9" s="180">
        <v>2030</v>
      </c>
      <c r="J9" s="181">
        <f t="shared" si="1"/>
        <v>1883</v>
      </c>
      <c r="K9" s="181">
        <f t="shared" si="2"/>
        <v>-745</v>
      </c>
      <c r="L9" s="181">
        <f t="shared" si="3"/>
        <v>2628</v>
      </c>
    </row>
    <row r="10" spans="1:12" ht="15" thickBot="1">
      <c r="A10" s="179">
        <v>8</v>
      </c>
      <c r="B10" s="180">
        <v>2031</v>
      </c>
      <c r="C10" s="184">
        <v>2040.7614394275924</v>
      </c>
      <c r="D10" s="184">
        <v>-745.79312331499568</v>
      </c>
      <c r="E10" s="184">
        <f t="shared" si="0"/>
        <v>2786.5545627425881</v>
      </c>
      <c r="H10" s="179">
        <v>8</v>
      </c>
      <c r="I10" s="180">
        <v>2031</v>
      </c>
      <c r="J10" s="181">
        <f t="shared" si="1"/>
        <v>2040</v>
      </c>
      <c r="K10" s="181">
        <f t="shared" si="2"/>
        <v>-745</v>
      </c>
      <c r="L10" s="181">
        <f t="shared" si="3"/>
        <v>2785</v>
      </c>
    </row>
    <row r="11" spans="1:12" ht="15" thickBot="1">
      <c r="A11" s="179">
        <v>9</v>
      </c>
      <c r="B11" s="180">
        <v>2032</v>
      </c>
      <c r="C11" s="184">
        <v>2165.5981552279563</v>
      </c>
      <c r="D11" s="184">
        <v>-745.79312331500296</v>
      </c>
      <c r="E11" s="184">
        <f t="shared" si="0"/>
        <v>2911.3912785429593</v>
      </c>
      <c r="H11" s="179">
        <v>9</v>
      </c>
      <c r="I11" s="180">
        <v>2032</v>
      </c>
      <c r="J11" s="181">
        <f t="shared" si="1"/>
        <v>2165</v>
      </c>
      <c r="K11" s="181">
        <f t="shared" si="2"/>
        <v>-745</v>
      </c>
      <c r="L11" s="181">
        <f t="shared" si="3"/>
        <v>2910</v>
      </c>
    </row>
    <row r="12" spans="1:12" ht="15" thickBot="1">
      <c r="A12" s="179">
        <v>10</v>
      </c>
      <c r="B12" s="180">
        <v>2033</v>
      </c>
      <c r="C12" s="184">
        <v>2264.6811222208298</v>
      </c>
      <c r="D12" s="184">
        <v>-745.79312331499568</v>
      </c>
      <c r="E12" s="184">
        <f t="shared" si="0"/>
        <v>3010.4742455358255</v>
      </c>
      <c r="H12" s="179">
        <v>10</v>
      </c>
      <c r="I12" s="180">
        <v>2033</v>
      </c>
      <c r="J12" s="181">
        <f t="shared" si="1"/>
        <v>2264</v>
      </c>
      <c r="K12" s="181">
        <f t="shared" si="2"/>
        <v>-745</v>
      </c>
      <c r="L12" s="181">
        <f t="shared" si="3"/>
        <v>3009</v>
      </c>
    </row>
    <row r="13" spans="1:12" ht="15" thickBot="1">
      <c r="A13" s="179">
        <v>11</v>
      </c>
      <c r="B13" s="180">
        <v>2034</v>
      </c>
      <c r="C13" s="184">
        <v>2343.3233252391392</v>
      </c>
      <c r="D13" s="184">
        <v>-745.79312331499932</v>
      </c>
      <c r="E13" s="184">
        <f t="shared" si="0"/>
        <v>3089.1164485541385</v>
      </c>
      <c r="H13" s="179">
        <v>11</v>
      </c>
      <c r="I13" s="180">
        <v>2034</v>
      </c>
      <c r="J13" s="181">
        <f t="shared" si="1"/>
        <v>2343</v>
      </c>
      <c r="K13" s="181">
        <f t="shared" si="2"/>
        <v>-745</v>
      </c>
      <c r="L13" s="181">
        <f t="shared" si="3"/>
        <v>3088</v>
      </c>
    </row>
    <row r="14" spans="1:12" ht="15" thickBot="1">
      <c r="A14" s="179">
        <v>12</v>
      </c>
      <c r="B14" s="180">
        <v>2035</v>
      </c>
      <c r="C14" s="184">
        <v>2405.741683139323</v>
      </c>
      <c r="D14" s="184">
        <v>-745.79312331499568</v>
      </c>
      <c r="E14" s="184">
        <f t="shared" si="0"/>
        <v>3151.5348064543186</v>
      </c>
      <c r="H14" s="179">
        <v>12</v>
      </c>
      <c r="I14" s="180">
        <v>2035</v>
      </c>
      <c r="J14" s="181">
        <f t="shared" si="1"/>
        <v>2405</v>
      </c>
      <c r="K14" s="181">
        <f t="shared" si="2"/>
        <v>-745</v>
      </c>
      <c r="L14" s="181">
        <f t="shared" si="3"/>
        <v>3150</v>
      </c>
    </row>
    <row r="15" spans="1:12" ht="15" thickBot="1">
      <c r="A15" s="179">
        <v>13</v>
      </c>
      <c r="B15" s="180">
        <v>2036</v>
      </c>
      <c r="C15" s="184">
        <v>2455.2831666357552</v>
      </c>
      <c r="D15" s="184">
        <v>-745.79312331500296</v>
      </c>
      <c r="E15" s="184">
        <f t="shared" si="0"/>
        <v>3201.0762899507581</v>
      </c>
      <c r="H15" s="179">
        <v>13</v>
      </c>
      <c r="I15" s="180">
        <v>2036</v>
      </c>
      <c r="J15" s="181">
        <f t="shared" si="1"/>
        <v>2455</v>
      </c>
      <c r="K15" s="181">
        <f t="shared" si="2"/>
        <v>-745</v>
      </c>
      <c r="L15" s="181">
        <f t="shared" si="3"/>
        <v>3200</v>
      </c>
    </row>
    <row r="16" spans="1:12" ht="15" thickBot="1">
      <c r="A16" s="179">
        <v>14</v>
      </c>
      <c r="B16" s="180">
        <v>2037</v>
      </c>
      <c r="C16" s="184">
        <v>2494.6042681449135</v>
      </c>
      <c r="D16" s="184">
        <v>-745.79312331499568</v>
      </c>
      <c r="E16" s="184">
        <f t="shared" si="0"/>
        <v>3240.3973914599092</v>
      </c>
      <c r="H16" s="179">
        <v>14</v>
      </c>
      <c r="I16" s="180">
        <v>2037</v>
      </c>
      <c r="J16" s="181">
        <f t="shared" si="1"/>
        <v>2494</v>
      </c>
      <c r="K16" s="181">
        <f t="shared" si="2"/>
        <v>-745</v>
      </c>
      <c r="L16" s="181">
        <f t="shared" si="3"/>
        <v>3239</v>
      </c>
    </row>
    <row r="17" spans="1:15" ht="15" thickBot="1">
      <c r="A17" s="179">
        <v>15</v>
      </c>
      <c r="B17" s="180">
        <v>2038</v>
      </c>
      <c r="C17" s="184">
        <v>2525.8134470950017</v>
      </c>
      <c r="D17" s="184">
        <v>-745.79312331500296</v>
      </c>
      <c r="E17" s="184">
        <f t="shared" si="0"/>
        <v>3271.6065704100047</v>
      </c>
      <c r="H17" s="179">
        <v>15</v>
      </c>
      <c r="I17" s="180">
        <v>2038</v>
      </c>
      <c r="J17" s="181">
        <f t="shared" si="1"/>
        <v>2525</v>
      </c>
      <c r="K17" s="181">
        <f t="shared" si="2"/>
        <v>-745</v>
      </c>
      <c r="L17" s="181">
        <f t="shared" si="3"/>
        <v>3270</v>
      </c>
    </row>
    <row r="18" spans="1:15" ht="15.75" thickBot="1">
      <c r="A18" s="182" t="s">
        <v>123</v>
      </c>
      <c r="B18" s="182" t="s">
        <v>234</v>
      </c>
      <c r="C18" s="185" t="e">
        <f ca="1">SUM(_xlfn.ANCHORARRAY(C3))</f>
        <v>#NAME?</v>
      </c>
      <c r="D18" s="185">
        <f>SUM(_xlfn.ANCHORARRAY(D3))</f>
        <v>-10918.529620489993</v>
      </c>
      <c r="E18" s="185">
        <f>SUM(E3:E17)</f>
        <v>36736.29881950908</v>
      </c>
      <c r="H18" s="182" t="s">
        <v>123</v>
      </c>
      <c r="I18" s="182" t="s">
        <v>234</v>
      </c>
      <c r="J18" s="183">
        <f>SUM(J3:J17)</f>
        <v>25811</v>
      </c>
      <c r="K18" s="183">
        <f>SUM(K3:K17)</f>
        <v>-10907</v>
      </c>
      <c r="L18" s="183">
        <f>SUM(L3:L17)</f>
        <v>36718</v>
      </c>
      <c r="O18" s="172"/>
    </row>
    <row r="19" spans="1:15" ht="15.75" customHeight="1" thickBot="1">
      <c r="A19" s="200" t="s">
        <v>287</v>
      </c>
      <c r="B19" s="201"/>
      <c r="C19" s="201"/>
      <c r="D19" s="202"/>
      <c r="E19" s="185">
        <f>AVERAGE(E3:E17)</f>
        <v>2449.086587967272</v>
      </c>
      <c r="H19" s="200" t="s">
        <v>287</v>
      </c>
      <c r="I19" s="201"/>
      <c r="J19" s="201"/>
      <c r="K19" s="202"/>
      <c r="L19" s="183">
        <f>ROUNDDOWN(L18/15,0)</f>
        <v>2447</v>
      </c>
    </row>
  </sheetData>
  <mergeCells count="2">
    <mergeCell ref="H19:K19"/>
    <mergeCell ref="A19:D19"/>
  </mergeCells>
  <pageMargins left="0.7" right="0.7" top="0.75" bottom="0.75" header="0.3" footer="0.3"/>
  <pageSetup paperSize="9" orientation="portrait" horizontalDpi="300"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B82117-281A-4F16-86C0-722C554667FF}">
  <dimension ref="A2:W29"/>
  <sheetViews>
    <sheetView zoomScale="150" zoomScaleNormal="150" workbookViewId="0">
      <selection activeCell="B6" sqref="B6"/>
    </sheetView>
  </sheetViews>
  <sheetFormatPr defaultColWidth="8.875" defaultRowHeight="14.25"/>
  <cols>
    <col min="1" max="1" width="9" style="12" customWidth="1"/>
    <col min="2" max="2" width="32.375" style="13" customWidth="1"/>
    <col min="3" max="3" width="7.5" style="12" customWidth="1"/>
    <col min="4" max="4" width="7.625" style="12" customWidth="1"/>
    <col min="5" max="5" width="7.5" style="12" bestFit="1" customWidth="1"/>
    <col min="6" max="6" width="7.625" style="12" bestFit="1" customWidth="1"/>
    <col min="7" max="13" width="9.375" style="12" bestFit="1" customWidth="1"/>
    <col min="14" max="18" width="9.375" style="12" customWidth="1"/>
    <col min="19" max="19" width="8.625" style="12" customWidth="1"/>
    <col min="20" max="20" width="5.5" style="12" customWidth="1"/>
    <col min="21" max="21" width="9.125" style="12"/>
    <col min="22" max="22" width="64.375" style="12" customWidth="1"/>
    <col min="23" max="23" width="8.125" style="12" customWidth="1"/>
    <col min="24" max="24" width="70.875" style="12" customWidth="1"/>
    <col min="25" max="266" width="9.125" style="12"/>
    <col min="267" max="267" width="9" style="12" customWidth="1"/>
    <col min="268" max="268" width="15.625" style="12" customWidth="1"/>
    <col min="269" max="269" width="7.5" style="12" customWidth="1"/>
    <col min="270" max="270" width="7.625" style="12" customWidth="1"/>
    <col min="271" max="271" width="6.5" style="12" bestFit="1" customWidth="1"/>
    <col min="272" max="272" width="7.5" style="12" bestFit="1" customWidth="1"/>
    <col min="273" max="274" width="9.125" style="12"/>
    <col min="275" max="275" width="5.5" style="12" customWidth="1"/>
    <col min="276" max="276" width="9.125" style="12"/>
    <col min="277" max="277" width="64.375" style="12" customWidth="1"/>
    <col min="278" max="278" width="8.125" style="12" customWidth="1"/>
    <col min="279" max="279" width="0" style="12" hidden="1" customWidth="1"/>
    <col min="280" max="280" width="4.875" style="12" customWidth="1"/>
    <col min="281" max="522" width="9.125" style="12"/>
    <col min="523" max="523" width="9" style="12" customWidth="1"/>
    <col min="524" max="524" width="15.625" style="12" customWidth="1"/>
    <col min="525" max="525" width="7.5" style="12" customWidth="1"/>
    <col min="526" max="526" width="7.625" style="12" customWidth="1"/>
    <col min="527" max="527" width="6.5" style="12" bestFit="1" customWidth="1"/>
    <col min="528" max="528" width="7.5" style="12" bestFit="1" customWidth="1"/>
    <col min="529" max="530" width="9.125" style="12"/>
    <col min="531" max="531" width="5.5" style="12" customWidth="1"/>
    <col min="532" max="532" width="9.125" style="12"/>
    <col min="533" max="533" width="64.375" style="12" customWidth="1"/>
    <col min="534" max="534" width="8.125" style="12" customWidth="1"/>
    <col min="535" max="535" width="0" style="12" hidden="1" customWidth="1"/>
    <col min="536" max="536" width="4.875" style="12" customWidth="1"/>
    <col min="537" max="778" width="9.125" style="12"/>
    <col min="779" max="779" width="9" style="12" customWidth="1"/>
    <col min="780" max="780" width="15.625" style="12" customWidth="1"/>
    <col min="781" max="781" width="7.5" style="12" customWidth="1"/>
    <col min="782" max="782" width="7.625" style="12" customWidth="1"/>
    <col min="783" max="783" width="6.5" style="12" bestFit="1" customWidth="1"/>
    <col min="784" max="784" width="7.5" style="12" bestFit="1" customWidth="1"/>
    <col min="785" max="786" width="9.125" style="12"/>
    <col min="787" max="787" width="5.5" style="12" customWidth="1"/>
    <col min="788" max="788" width="9.125" style="12"/>
    <col min="789" max="789" width="64.375" style="12" customWidth="1"/>
    <col min="790" max="790" width="8.125" style="12" customWidth="1"/>
    <col min="791" max="791" width="0" style="12" hidden="1" customWidth="1"/>
    <col min="792" max="792" width="4.875" style="12" customWidth="1"/>
    <col min="793" max="1034" width="9.125" style="12"/>
    <col min="1035" max="1035" width="9" style="12" customWidth="1"/>
    <col min="1036" max="1036" width="15.625" style="12" customWidth="1"/>
    <col min="1037" max="1037" width="7.5" style="12" customWidth="1"/>
    <col min="1038" max="1038" width="7.625" style="12" customWidth="1"/>
    <col min="1039" max="1039" width="6.5" style="12" bestFit="1" customWidth="1"/>
    <col min="1040" max="1040" width="7.5" style="12" bestFit="1" customWidth="1"/>
    <col min="1041" max="1042" width="9.125" style="12"/>
    <col min="1043" max="1043" width="5.5" style="12" customWidth="1"/>
    <col min="1044" max="1044" width="9.125" style="12"/>
    <col min="1045" max="1045" width="64.375" style="12" customWidth="1"/>
    <col min="1046" max="1046" width="8.125" style="12" customWidth="1"/>
    <col min="1047" max="1047" width="0" style="12" hidden="1" customWidth="1"/>
    <col min="1048" max="1048" width="4.875" style="12" customWidth="1"/>
    <col min="1049" max="1290" width="9.125" style="12"/>
    <col min="1291" max="1291" width="9" style="12" customWidth="1"/>
    <col min="1292" max="1292" width="15.625" style="12" customWidth="1"/>
    <col min="1293" max="1293" width="7.5" style="12" customWidth="1"/>
    <col min="1294" max="1294" width="7.625" style="12" customWidth="1"/>
    <col min="1295" max="1295" width="6.5" style="12" bestFit="1" customWidth="1"/>
    <col min="1296" max="1296" width="7.5" style="12" bestFit="1" customWidth="1"/>
    <col min="1297" max="1298" width="9.125" style="12"/>
    <col min="1299" max="1299" width="5.5" style="12" customWidth="1"/>
    <col min="1300" max="1300" width="9.125" style="12"/>
    <col min="1301" max="1301" width="64.375" style="12" customWidth="1"/>
    <col min="1302" max="1302" width="8.125" style="12" customWidth="1"/>
    <col min="1303" max="1303" width="0" style="12" hidden="1" customWidth="1"/>
    <col min="1304" max="1304" width="4.875" style="12" customWidth="1"/>
    <col min="1305" max="1546" width="9.125" style="12"/>
    <col min="1547" max="1547" width="9" style="12" customWidth="1"/>
    <col min="1548" max="1548" width="15.625" style="12" customWidth="1"/>
    <col min="1549" max="1549" width="7.5" style="12" customWidth="1"/>
    <col min="1550" max="1550" width="7.625" style="12" customWidth="1"/>
    <col min="1551" max="1551" width="6.5" style="12" bestFit="1" customWidth="1"/>
    <col min="1552" max="1552" width="7.5" style="12" bestFit="1" customWidth="1"/>
    <col min="1553" max="1554" width="9.125" style="12"/>
    <col min="1555" max="1555" width="5.5" style="12" customWidth="1"/>
    <col min="1556" max="1556" width="9.125" style="12"/>
    <col min="1557" max="1557" width="64.375" style="12" customWidth="1"/>
    <col min="1558" max="1558" width="8.125" style="12" customWidth="1"/>
    <col min="1559" max="1559" width="0" style="12" hidden="1" customWidth="1"/>
    <col min="1560" max="1560" width="4.875" style="12" customWidth="1"/>
    <col min="1561" max="1802" width="9.125" style="12"/>
    <col min="1803" max="1803" width="9" style="12" customWidth="1"/>
    <col min="1804" max="1804" width="15.625" style="12" customWidth="1"/>
    <col min="1805" max="1805" width="7.5" style="12" customWidth="1"/>
    <col min="1806" max="1806" width="7.625" style="12" customWidth="1"/>
    <col min="1807" max="1807" width="6.5" style="12" bestFit="1" customWidth="1"/>
    <col min="1808" max="1808" width="7.5" style="12" bestFit="1" customWidth="1"/>
    <col min="1809" max="1810" width="9.125" style="12"/>
    <col min="1811" max="1811" width="5.5" style="12" customWidth="1"/>
    <col min="1812" max="1812" width="9.125" style="12"/>
    <col min="1813" max="1813" width="64.375" style="12" customWidth="1"/>
    <col min="1814" max="1814" width="8.125" style="12" customWidth="1"/>
    <col min="1815" max="1815" width="0" style="12" hidden="1" customWidth="1"/>
    <col min="1816" max="1816" width="4.875" style="12" customWidth="1"/>
    <col min="1817" max="2058" width="9.125" style="12"/>
    <col min="2059" max="2059" width="9" style="12" customWidth="1"/>
    <col min="2060" max="2060" width="15.625" style="12" customWidth="1"/>
    <col min="2061" max="2061" width="7.5" style="12" customWidth="1"/>
    <col min="2062" max="2062" width="7.625" style="12" customWidth="1"/>
    <col min="2063" max="2063" width="6.5" style="12" bestFit="1" customWidth="1"/>
    <col min="2064" max="2064" width="7.5" style="12" bestFit="1" customWidth="1"/>
    <col min="2065" max="2066" width="9.125" style="12"/>
    <col min="2067" max="2067" width="5.5" style="12" customWidth="1"/>
    <col min="2068" max="2068" width="9.125" style="12"/>
    <col min="2069" max="2069" width="64.375" style="12" customWidth="1"/>
    <col min="2070" max="2070" width="8.125" style="12" customWidth="1"/>
    <col min="2071" max="2071" width="0" style="12" hidden="1" customWidth="1"/>
    <col min="2072" max="2072" width="4.875" style="12" customWidth="1"/>
    <col min="2073" max="2314" width="9.125" style="12"/>
    <col min="2315" max="2315" width="9" style="12" customWidth="1"/>
    <col min="2316" max="2316" width="15.625" style="12" customWidth="1"/>
    <col min="2317" max="2317" width="7.5" style="12" customWidth="1"/>
    <col min="2318" max="2318" width="7.625" style="12" customWidth="1"/>
    <col min="2319" max="2319" width="6.5" style="12" bestFit="1" customWidth="1"/>
    <col min="2320" max="2320" width="7.5" style="12" bestFit="1" customWidth="1"/>
    <col min="2321" max="2322" width="9.125" style="12"/>
    <col min="2323" max="2323" width="5.5" style="12" customWidth="1"/>
    <col min="2324" max="2324" width="9.125" style="12"/>
    <col min="2325" max="2325" width="64.375" style="12" customWidth="1"/>
    <col min="2326" max="2326" width="8.125" style="12" customWidth="1"/>
    <col min="2327" max="2327" width="0" style="12" hidden="1" customWidth="1"/>
    <col min="2328" max="2328" width="4.875" style="12" customWidth="1"/>
    <col min="2329" max="2570" width="9.125" style="12"/>
    <col min="2571" max="2571" width="9" style="12" customWidth="1"/>
    <col min="2572" max="2572" width="15.625" style="12" customWidth="1"/>
    <col min="2573" max="2573" width="7.5" style="12" customWidth="1"/>
    <col min="2574" max="2574" width="7.625" style="12" customWidth="1"/>
    <col min="2575" max="2575" width="6.5" style="12" bestFit="1" customWidth="1"/>
    <col min="2576" max="2576" width="7.5" style="12" bestFit="1" customWidth="1"/>
    <col min="2577" max="2578" width="9.125" style="12"/>
    <col min="2579" max="2579" width="5.5" style="12" customWidth="1"/>
    <col min="2580" max="2580" width="9.125" style="12"/>
    <col min="2581" max="2581" width="64.375" style="12" customWidth="1"/>
    <col min="2582" max="2582" width="8.125" style="12" customWidth="1"/>
    <col min="2583" max="2583" width="0" style="12" hidden="1" customWidth="1"/>
    <col min="2584" max="2584" width="4.875" style="12" customWidth="1"/>
    <col min="2585" max="2826" width="9.125" style="12"/>
    <col min="2827" max="2827" width="9" style="12" customWidth="1"/>
    <col min="2828" max="2828" width="15.625" style="12" customWidth="1"/>
    <col min="2829" max="2829" width="7.5" style="12" customWidth="1"/>
    <col min="2830" max="2830" width="7.625" style="12" customWidth="1"/>
    <col min="2831" max="2831" width="6.5" style="12" bestFit="1" customWidth="1"/>
    <col min="2832" max="2832" width="7.5" style="12" bestFit="1" customWidth="1"/>
    <col min="2833" max="2834" width="9.125" style="12"/>
    <col min="2835" max="2835" width="5.5" style="12" customWidth="1"/>
    <col min="2836" max="2836" width="9.125" style="12"/>
    <col min="2837" max="2837" width="64.375" style="12" customWidth="1"/>
    <col min="2838" max="2838" width="8.125" style="12" customWidth="1"/>
    <col min="2839" max="2839" width="0" style="12" hidden="1" customWidth="1"/>
    <col min="2840" max="2840" width="4.875" style="12" customWidth="1"/>
    <col min="2841" max="3082" width="9.125" style="12"/>
    <col min="3083" max="3083" width="9" style="12" customWidth="1"/>
    <col min="3084" max="3084" width="15.625" style="12" customWidth="1"/>
    <col min="3085" max="3085" width="7.5" style="12" customWidth="1"/>
    <col min="3086" max="3086" width="7.625" style="12" customWidth="1"/>
    <col min="3087" max="3087" width="6.5" style="12" bestFit="1" customWidth="1"/>
    <col min="3088" max="3088" width="7.5" style="12" bestFit="1" customWidth="1"/>
    <col min="3089" max="3090" width="9.125" style="12"/>
    <col min="3091" max="3091" width="5.5" style="12" customWidth="1"/>
    <col min="3092" max="3092" width="9.125" style="12"/>
    <col min="3093" max="3093" width="64.375" style="12" customWidth="1"/>
    <col min="3094" max="3094" width="8.125" style="12" customWidth="1"/>
    <col min="3095" max="3095" width="0" style="12" hidden="1" customWidth="1"/>
    <col min="3096" max="3096" width="4.875" style="12" customWidth="1"/>
    <col min="3097" max="3338" width="9.125" style="12"/>
    <col min="3339" max="3339" width="9" style="12" customWidth="1"/>
    <col min="3340" max="3340" width="15.625" style="12" customWidth="1"/>
    <col min="3341" max="3341" width="7.5" style="12" customWidth="1"/>
    <col min="3342" max="3342" width="7.625" style="12" customWidth="1"/>
    <col min="3343" max="3343" width="6.5" style="12" bestFit="1" customWidth="1"/>
    <col min="3344" max="3344" width="7.5" style="12" bestFit="1" customWidth="1"/>
    <col min="3345" max="3346" width="9.125" style="12"/>
    <col min="3347" max="3347" width="5.5" style="12" customWidth="1"/>
    <col min="3348" max="3348" width="9.125" style="12"/>
    <col min="3349" max="3349" width="64.375" style="12" customWidth="1"/>
    <col min="3350" max="3350" width="8.125" style="12" customWidth="1"/>
    <col min="3351" max="3351" width="0" style="12" hidden="1" customWidth="1"/>
    <col min="3352" max="3352" width="4.875" style="12" customWidth="1"/>
    <col min="3353" max="3594" width="9.125" style="12"/>
    <col min="3595" max="3595" width="9" style="12" customWidth="1"/>
    <col min="3596" max="3596" width="15.625" style="12" customWidth="1"/>
    <col min="3597" max="3597" width="7.5" style="12" customWidth="1"/>
    <col min="3598" max="3598" width="7.625" style="12" customWidth="1"/>
    <col min="3599" max="3599" width="6.5" style="12" bestFit="1" customWidth="1"/>
    <col min="3600" max="3600" width="7.5" style="12" bestFit="1" customWidth="1"/>
    <col min="3601" max="3602" width="9.125" style="12"/>
    <col min="3603" max="3603" width="5.5" style="12" customWidth="1"/>
    <col min="3604" max="3604" width="9.125" style="12"/>
    <col min="3605" max="3605" width="64.375" style="12" customWidth="1"/>
    <col min="3606" max="3606" width="8.125" style="12" customWidth="1"/>
    <col min="3607" max="3607" width="0" style="12" hidden="1" customWidth="1"/>
    <col min="3608" max="3608" width="4.875" style="12" customWidth="1"/>
    <col min="3609" max="3850" width="9.125" style="12"/>
    <col min="3851" max="3851" width="9" style="12" customWidth="1"/>
    <col min="3852" max="3852" width="15.625" style="12" customWidth="1"/>
    <col min="3853" max="3853" width="7.5" style="12" customWidth="1"/>
    <col min="3854" max="3854" width="7.625" style="12" customWidth="1"/>
    <col min="3855" max="3855" width="6.5" style="12" bestFit="1" customWidth="1"/>
    <col min="3856" max="3856" width="7.5" style="12" bestFit="1" customWidth="1"/>
    <col min="3857" max="3858" width="9.125" style="12"/>
    <col min="3859" max="3859" width="5.5" style="12" customWidth="1"/>
    <col min="3860" max="3860" width="9.125" style="12"/>
    <col min="3861" max="3861" width="64.375" style="12" customWidth="1"/>
    <col min="3862" max="3862" width="8.125" style="12" customWidth="1"/>
    <col min="3863" max="3863" width="0" style="12" hidden="1" customWidth="1"/>
    <col min="3864" max="3864" width="4.875" style="12" customWidth="1"/>
    <col min="3865" max="4106" width="9.125" style="12"/>
    <col min="4107" max="4107" width="9" style="12" customWidth="1"/>
    <col min="4108" max="4108" width="15.625" style="12" customWidth="1"/>
    <col min="4109" max="4109" width="7.5" style="12" customWidth="1"/>
    <col min="4110" max="4110" width="7.625" style="12" customWidth="1"/>
    <col min="4111" max="4111" width="6.5" style="12" bestFit="1" customWidth="1"/>
    <col min="4112" max="4112" width="7.5" style="12" bestFit="1" customWidth="1"/>
    <col min="4113" max="4114" width="9.125" style="12"/>
    <col min="4115" max="4115" width="5.5" style="12" customWidth="1"/>
    <col min="4116" max="4116" width="9.125" style="12"/>
    <col min="4117" max="4117" width="64.375" style="12" customWidth="1"/>
    <col min="4118" max="4118" width="8.125" style="12" customWidth="1"/>
    <col min="4119" max="4119" width="0" style="12" hidden="1" customWidth="1"/>
    <col min="4120" max="4120" width="4.875" style="12" customWidth="1"/>
    <col min="4121" max="4362" width="9.125" style="12"/>
    <col min="4363" max="4363" width="9" style="12" customWidth="1"/>
    <col min="4364" max="4364" width="15.625" style="12" customWidth="1"/>
    <col min="4365" max="4365" width="7.5" style="12" customWidth="1"/>
    <col min="4366" max="4366" width="7.625" style="12" customWidth="1"/>
    <col min="4367" max="4367" width="6.5" style="12" bestFit="1" customWidth="1"/>
    <col min="4368" max="4368" width="7.5" style="12" bestFit="1" customWidth="1"/>
    <col min="4369" max="4370" width="9.125" style="12"/>
    <col min="4371" max="4371" width="5.5" style="12" customWidth="1"/>
    <col min="4372" max="4372" width="9.125" style="12"/>
    <col min="4373" max="4373" width="64.375" style="12" customWidth="1"/>
    <col min="4374" max="4374" width="8.125" style="12" customWidth="1"/>
    <col min="4375" max="4375" width="0" style="12" hidden="1" customWidth="1"/>
    <col min="4376" max="4376" width="4.875" style="12" customWidth="1"/>
    <col min="4377" max="4618" width="9.125" style="12"/>
    <col min="4619" max="4619" width="9" style="12" customWidth="1"/>
    <col min="4620" max="4620" width="15.625" style="12" customWidth="1"/>
    <col min="4621" max="4621" width="7.5" style="12" customWidth="1"/>
    <col min="4622" max="4622" width="7.625" style="12" customWidth="1"/>
    <col min="4623" max="4623" width="6.5" style="12" bestFit="1" customWidth="1"/>
    <col min="4624" max="4624" width="7.5" style="12" bestFit="1" customWidth="1"/>
    <col min="4625" max="4626" width="9.125" style="12"/>
    <col min="4627" max="4627" width="5.5" style="12" customWidth="1"/>
    <col min="4628" max="4628" width="9.125" style="12"/>
    <col min="4629" max="4629" width="64.375" style="12" customWidth="1"/>
    <col min="4630" max="4630" width="8.125" style="12" customWidth="1"/>
    <col min="4631" max="4631" width="0" style="12" hidden="1" customWidth="1"/>
    <col min="4632" max="4632" width="4.875" style="12" customWidth="1"/>
    <col min="4633" max="4874" width="9.125" style="12"/>
    <col min="4875" max="4875" width="9" style="12" customWidth="1"/>
    <col min="4876" max="4876" width="15.625" style="12" customWidth="1"/>
    <col min="4877" max="4877" width="7.5" style="12" customWidth="1"/>
    <col min="4878" max="4878" width="7.625" style="12" customWidth="1"/>
    <col min="4879" max="4879" width="6.5" style="12" bestFit="1" customWidth="1"/>
    <col min="4880" max="4880" width="7.5" style="12" bestFit="1" customWidth="1"/>
    <col min="4881" max="4882" width="9.125" style="12"/>
    <col min="4883" max="4883" width="5.5" style="12" customWidth="1"/>
    <col min="4884" max="4884" width="9.125" style="12"/>
    <col min="4885" max="4885" width="64.375" style="12" customWidth="1"/>
    <col min="4886" max="4886" width="8.125" style="12" customWidth="1"/>
    <col min="4887" max="4887" width="0" style="12" hidden="1" customWidth="1"/>
    <col min="4888" max="4888" width="4.875" style="12" customWidth="1"/>
    <col min="4889" max="5130" width="9.125" style="12"/>
    <col min="5131" max="5131" width="9" style="12" customWidth="1"/>
    <col min="5132" max="5132" width="15.625" style="12" customWidth="1"/>
    <col min="5133" max="5133" width="7.5" style="12" customWidth="1"/>
    <col min="5134" max="5134" width="7.625" style="12" customWidth="1"/>
    <col min="5135" max="5135" width="6.5" style="12" bestFit="1" customWidth="1"/>
    <col min="5136" max="5136" width="7.5" style="12" bestFit="1" customWidth="1"/>
    <col min="5137" max="5138" width="9.125" style="12"/>
    <col min="5139" max="5139" width="5.5" style="12" customWidth="1"/>
    <col min="5140" max="5140" width="9.125" style="12"/>
    <col min="5141" max="5141" width="64.375" style="12" customWidth="1"/>
    <col min="5142" max="5142" width="8.125" style="12" customWidth="1"/>
    <col min="5143" max="5143" width="0" style="12" hidden="1" customWidth="1"/>
    <col min="5144" max="5144" width="4.875" style="12" customWidth="1"/>
    <col min="5145" max="5386" width="9.125" style="12"/>
    <col min="5387" max="5387" width="9" style="12" customWidth="1"/>
    <col min="5388" max="5388" width="15.625" style="12" customWidth="1"/>
    <col min="5389" max="5389" width="7.5" style="12" customWidth="1"/>
    <col min="5390" max="5390" width="7.625" style="12" customWidth="1"/>
    <col min="5391" max="5391" width="6.5" style="12" bestFit="1" customWidth="1"/>
    <col min="5392" max="5392" width="7.5" style="12" bestFit="1" customWidth="1"/>
    <col min="5393" max="5394" width="9.125" style="12"/>
    <col min="5395" max="5395" width="5.5" style="12" customWidth="1"/>
    <col min="5396" max="5396" width="9.125" style="12"/>
    <col min="5397" max="5397" width="64.375" style="12" customWidth="1"/>
    <col min="5398" max="5398" width="8.125" style="12" customWidth="1"/>
    <col min="5399" max="5399" width="0" style="12" hidden="1" customWidth="1"/>
    <col min="5400" max="5400" width="4.875" style="12" customWidth="1"/>
    <col min="5401" max="5642" width="9.125" style="12"/>
    <col min="5643" max="5643" width="9" style="12" customWidth="1"/>
    <col min="5644" max="5644" width="15.625" style="12" customWidth="1"/>
    <col min="5645" max="5645" width="7.5" style="12" customWidth="1"/>
    <col min="5646" max="5646" width="7.625" style="12" customWidth="1"/>
    <col min="5647" max="5647" width="6.5" style="12" bestFit="1" customWidth="1"/>
    <col min="5648" max="5648" width="7.5" style="12" bestFit="1" customWidth="1"/>
    <col min="5649" max="5650" width="9.125" style="12"/>
    <col min="5651" max="5651" width="5.5" style="12" customWidth="1"/>
    <col min="5652" max="5652" width="9.125" style="12"/>
    <col min="5653" max="5653" width="64.375" style="12" customWidth="1"/>
    <col min="5654" max="5654" width="8.125" style="12" customWidth="1"/>
    <col min="5655" max="5655" width="0" style="12" hidden="1" customWidth="1"/>
    <col min="5656" max="5656" width="4.875" style="12" customWidth="1"/>
    <col min="5657" max="5898" width="9.125" style="12"/>
    <col min="5899" max="5899" width="9" style="12" customWidth="1"/>
    <col min="5900" max="5900" width="15.625" style="12" customWidth="1"/>
    <col min="5901" max="5901" width="7.5" style="12" customWidth="1"/>
    <col min="5902" max="5902" width="7.625" style="12" customWidth="1"/>
    <col min="5903" max="5903" width="6.5" style="12" bestFit="1" customWidth="1"/>
    <col min="5904" max="5904" width="7.5" style="12" bestFit="1" customWidth="1"/>
    <col min="5905" max="5906" width="9.125" style="12"/>
    <col min="5907" max="5907" width="5.5" style="12" customWidth="1"/>
    <col min="5908" max="5908" width="9.125" style="12"/>
    <col min="5909" max="5909" width="64.375" style="12" customWidth="1"/>
    <col min="5910" max="5910" width="8.125" style="12" customWidth="1"/>
    <col min="5911" max="5911" width="0" style="12" hidden="1" customWidth="1"/>
    <col min="5912" max="5912" width="4.875" style="12" customWidth="1"/>
    <col min="5913" max="6154" width="9.125" style="12"/>
    <col min="6155" max="6155" width="9" style="12" customWidth="1"/>
    <col min="6156" max="6156" width="15.625" style="12" customWidth="1"/>
    <col min="6157" max="6157" width="7.5" style="12" customWidth="1"/>
    <col min="6158" max="6158" width="7.625" style="12" customWidth="1"/>
    <col min="6159" max="6159" width="6.5" style="12" bestFit="1" customWidth="1"/>
    <col min="6160" max="6160" width="7.5" style="12" bestFit="1" customWidth="1"/>
    <col min="6161" max="6162" width="9.125" style="12"/>
    <col min="6163" max="6163" width="5.5" style="12" customWidth="1"/>
    <col min="6164" max="6164" width="9.125" style="12"/>
    <col min="6165" max="6165" width="64.375" style="12" customWidth="1"/>
    <col min="6166" max="6166" width="8.125" style="12" customWidth="1"/>
    <col min="6167" max="6167" width="0" style="12" hidden="1" customWidth="1"/>
    <col min="6168" max="6168" width="4.875" style="12" customWidth="1"/>
    <col min="6169" max="6410" width="9.125" style="12"/>
    <col min="6411" max="6411" width="9" style="12" customWidth="1"/>
    <col min="6412" max="6412" width="15.625" style="12" customWidth="1"/>
    <col min="6413" max="6413" width="7.5" style="12" customWidth="1"/>
    <col min="6414" max="6414" width="7.625" style="12" customWidth="1"/>
    <col min="6415" max="6415" width="6.5" style="12" bestFit="1" customWidth="1"/>
    <col min="6416" max="6416" width="7.5" style="12" bestFit="1" customWidth="1"/>
    <col min="6417" max="6418" width="9.125" style="12"/>
    <col min="6419" max="6419" width="5.5" style="12" customWidth="1"/>
    <col min="6420" max="6420" width="9.125" style="12"/>
    <col min="6421" max="6421" width="64.375" style="12" customWidth="1"/>
    <col min="6422" max="6422" width="8.125" style="12" customWidth="1"/>
    <col min="6423" max="6423" width="0" style="12" hidden="1" customWidth="1"/>
    <col min="6424" max="6424" width="4.875" style="12" customWidth="1"/>
    <col min="6425" max="6666" width="9.125" style="12"/>
    <col min="6667" max="6667" width="9" style="12" customWidth="1"/>
    <col min="6668" max="6668" width="15.625" style="12" customWidth="1"/>
    <col min="6669" max="6669" width="7.5" style="12" customWidth="1"/>
    <col min="6670" max="6670" width="7.625" style="12" customWidth="1"/>
    <col min="6671" max="6671" width="6.5" style="12" bestFit="1" customWidth="1"/>
    <col min="6672" max="6672" width="7.5" style="12" bestFit="1" customWidth="1"/>
    <col min="6673" max="6674" width="9.125" style="12"/>
    <col min="6675" max="6675" width="5.5" style="12" customWidth="1"/>
    <col min="6676" max="6676" width="9.125" style="12"/>
    <col min="6677" max="6677" width="64.375" style="12" customWidth="1"/>
    <col min="6678" max="6678" width="8.125" style="12" customWidth="1"/>
    <col min="6679" max="6679" width="0" style="12" hidden="1" customWidth="1"/>
    <col min="6680" max="6680" width="4.875" style="12" customWidth="1"/>
    <col min="6681" max="6922" width="9.125" style="12"/>
    <col min="6923" max="6923" width="9" style="12" customWidth="1"/>
    <col min="6924" max="6924" width="15.625" style="12" customWidth="1"/>
    <col min="6925" max="6925" width="7.5" style="12" customWidth="1"/>
    <col min="6926" max="6926" width="7.625" style="12" customWidth="1"/>
    <col min="6927" max="6927" width="6.5" style="12" bestFit="1" customWidth="1"/>
    <col min="6928" max="6928" width="7.5" style="12" bestFit="1" customWidth="1"/>
    <col min="6929" max="6930" width="9.125" style="12"/>
    <col min="6931" max="6931" width="5.5" style="12" customWidth="1"/>
    <col min="6932" max="6932" width="9.125" style="12"/>
    <col min="6933" max="6933" width="64.375" style="12" customWidth="1"/>
    <col min="6934" max="6934" width="8.125" style="12" customWidth="1"/>
    <col min="6935" max="6935" width="0" style="12" hidden="1" customWidth="1"/>
    <col min="6936" max="6936" width="4.875" style="12" customWidth="1"/>
    <col min="6937" max="7178" width="9.125" style="12"/>
    <col min="7179" max="7179" width="9" style="12" customWidth="1"/>
    <col min="7180" max="7180" width="15.625" style="12" customWidth="1"/>
    <col min="7181" max="7181" width="7.5" style="12" customWidth="1"/>
    <col min="7182" max="7182" width="7.625" style="12" customWidth="1"/>
    <col min="7183" max="7183" width="6.5" style="12" bestFit="1" customWidth="1"/>
    <col min="7184" max="7184" width="7.5" style="12" bestFit="1" customWidth="1"/>
    <col min="7185" max="7186" width="9.125" style="12"/>
    <col min="7187" max="7187" width="5.5" style="12" customWidth="1"/>
    <col min="7188" max="7188" width="9.125" style="12"/>
    <col min="7189" max="7189" width="64.375" style="12" customWidth="1"/>
    <col min="7190" max="7190" width="8.125" style="12" customWidth="1"/>
    <col min="7191" max="7191" width="0" style="12" hidden="1" customWidth="1"/>
    <col min="7192" max="7192" width="4.875" style="12" customWidth="1"/>
    <col min="7193" max="7434" width="9.125" style="12"/>
    <col min="7435" max="7435" width="9" style="12" customWidth="1"/>
    <col min="7436" max="7436" width="15.625" style="12" customWidth="1"/>
    <col min="7437" max="7437" width="7.5" style="12" customWidth="1"/>
    <col min="7438" max="7438" width="7.625" style="12" customWidth="1"/>
    <col min="7439" max="7439" width="6.5" style="12" bestFit="1" customWidth="1"/>
    <col min="7440" max="7440" width="7.5" style="12" bestFit="1" customWidth="1"/>
    <col min="7441" max="7442" width="9.125" style="12"/>
    <col min="7443" max="7443" width="5.5" style="12" customWidth="1"/>
    <col min="7444" max="7444" width="9.125" style="12"/>
    <col min="7445" max="7445" width="64.375" style="12" customWidth="1"/>
    <col min="7446" max="7446" width="8.125" style="12" customWidth="1"/>
    <col min="7447" max="7447" width="0" style="12" hidden="1" customWidth="1"/>
    <col min="7448" max="7448" width="4.875" style="12" customWidth="1"/>
    <col min="7449" max="7690" width="9.125" style="12"/>
    <col min="7691" max="7691" width="9" style="12" customWidth="1"/>
    <col min="7692" max="7692" width="15.625" style="12" customWidth="1"/>
    <col min="7693" max="7693" width="7.5" style="12" customWidth="1"/>
    <col min="7694" max="7694" width="7.625" style="12" customWidth="1"/>
    <col min="7695" max="7695" width="6.5" style="12" bestFit="1" customWidth="1"/>
    <col min="7696" max="7696" width="7.5" style="12" bestFit="1" customWidth="1"/>
    <col min="7697" max="7698" width="9.125" style="12"/>
    <col min="7699" max="7699" width="5.5" style="12" customWidth="1"/>
    <col min="7700" max="7700" width="9.125" style="12"/>
    <col min="7701" max="7701" width="64.375" style="12" customWidth="1"/>
    <col min="7702" max="7702" width="8.125" style="12" customWidth="1"/>
    <col min="7703" max="7703" width="0" style="12" hidden="1" customWidth="1"/>
    <col min="7704" max="7704" width="4.875" style="12" customWidth="1"/>
    <col min="7705" max="7946" width="9.125" style="12"/>
    <col min="7947" max="7947" width="9" style="12" customWidth="1"/>
    <col min="7948" max="7948" width="15.625" style="12" customWidth="1"/>
    <col min="7949" max="7949" width="7.5" style="12" customWidth="1"/>
    <col min="7950" max="7950" width="7.625" style="12" customWidth="1"/>
    <col min="7951" max="7951" width="6.5" style="12" bestFit="1" customWidth="1"/>
    <col min="7952" max="7952" width="7.5" style="12" bestFit="1" customWidth="1"/>
    <col min="7953" max="7954" width="9.125" style="12"/>
    <col min="7955" max="7955" width="5.5" style="12" customWidth="1"/>
    <col min="7956" max="7956" width="9.125" style="12"/>
    <col min="7957" max="7957" width="64.375" style="12" customWidth="1"/>
    <col min="7958" max="7958" width="8.125" style="12" customWidth="1"/>
    <col min="7959" max="7959" width="0" style="12" hidden="1" customWidth="1"/>
    <col min="7960" max="7960" width="4.875" style="12" customWidth="1"/>
    <col min="7961" max="8202" width="9.125" style="12"/>
    <col min="8203" max="8203" width="9" style="12" customWidth="1"/>
    <col min="8204" max="8204" width="15.625" style="12" customWidth="1"/>
    <col min="8205" max="8205" width="7.5" style="12" customWidth="1"/>
    <col min="8206" max="8206" width="7.625" style="12" customWidth="1"/>
    <col min="8207" max="8207" width="6.5" style="12" bestFit="1" customWidth="1"/>
    <col min="8208" max="8208" width="7.5" style="12" bestFit="1" customWidth="1"/>
    <col min="8209" max="8210" width="9.125" style="12"/>
    <col min="8211" max="8211" width="5.5" style="12" customWidth="1"/>
    <col min="8212" max="8212" width="9.125" style="12"/>
    <col min="8213" max="8213" width="64.375" style="12" customWidth="1"/>
    <col min="8214" max="8214" width="8.125" style="12" customWidth="1"/>
    <col min="8215" max="8215" width="0" style="12" hidden="1" customWidth="1"/>
    <col min="8216" max="8216" width="4.875" style="12" customWidth="1"/>
    <col min="8217" max="8458" width="9.125" style="12"/>
    <col min="8459" max="8459" width="9" style="12" customWidth="1"/>
    <col min="8460" max="8460" width="15.625" style="12" customWidth="1"/>
    <col min="8461" max="8461" width="7.5" style="12" customWidth="1"/>
    <col min="8462" max="8462" width="7.625" style="12" customWidth="1"/>
    <col min="8463" max="8463" width="6.5" style="12" bestFit="1" customWidth="1"/>
    <col min="8464" max="8464" width="7.5" style="12" bestFit="1" customWidth="1"/>
    <col min="8465" max="8466" width="9.125" style="12"/>
    <col min="8467" max="8467" width="5.5" style="12" customWidth="1"/>
    <col min="8468" max="8468" width="9.125" style="12"/>
    <col min="8469" max="8469" width="64.375" style="12" customWidth="1"/>
    <col min="8470" max="8470" width="8.125" style="12" customWidth="1"/>
    <col min="8471" max="8471" width="0" style="12" hidden="1" customWidth="1"/>
    <col min="8472" max="8472" width="4.875" style="12" customWidth="1"/>
    <col min="8473" max="8714" width="9.125" style="12"/>
    <col min="8715" max="8715" width="9" style="12" customWidth="1"/>
    <col min="8716" max="8716" width="15.625" style="12" customWidth="1"/>
    <col min="8717" max="8717" width="7.5" style="12" customWidth="1"/>
    <col min="8718" max="8718" width="7.625" style="12" customWidth="1"/>
    <col min="8719" max="8719" width="6.5" style="12" bestFit="1" customWidth="1"/>
    <col min="8720" max="8720" width="7.5" style="12" bestFit="1" customWidth="1"/>
    <col min="8721" max="8722" width="9.125" style="12"/>
    <col min="8723" max="8723" width="5.5" style="12" customWidth="1"/>
    <col min="8724" max="8724" width="9.125" style="12"/>
    <col min="8725" max="8725" width="64.375" style="12" customWidth="1"/>
    <col min="8726" max="8726" width="8.125" style="12" customWidth="1"/>
    <col min="8727" max="8727" width="0" style="12" hidden="1" customWidth="1"/>
    <col min="8728" max="8728" width="4.875" style="12" customWidth="1"/>
    <col min="8729" max="8970" width="9.125" style="12"/>
    <col min="8971" max="8971" width="9" style="12" customWidth="1"/>
    <col min="8972" max="8972" width="15.625" style="12" customWidth="1"/>
    <col min="8973" max="8973" width="7.5" style="12" customWidth="1"/>
    <col min="8974" max="8974" width="7.625" style="12" customWidth="1"/>
    <col min="8975" max="8975" width="6.5" style="12" bestFit="1" customWidth="1"/>
    <col min="8976" max="8976" width="7.5" style="12" bestFit="1" customWidth="1"/>
    <col min="8977" max="8978" width="9.125" style="12"/>
    <col min="8979" max="8979" width="5.5" style="12" customWidth="1"/>
    <col min="8980" max="8980" width="9.125" style="12"/>
    <col min="8981" max="8981" width="64.375" style="12" customWidth="1"/>
    <col min="8982" max="8982" width="8.125" style="12" customWidth="1"/>
    <col min="8983" max="8983" width="0" style="12" hidden="1" customWidth="1"/>
    <col min="8984" max="8984" width="4.875" style="12" customWidth="1"/>
    <col min="8985" max="9226" width="9.125" style="12"/>
    <col min="9227" max="9227" width="9" style="12" customWidth="1"/>
    <col min="9228" max="9228" width="15.625" style="12" customWidth="1"/>
    <col min="9229" max="9229" width="7.5" style="12" customWidth="1"/>
    <col min="9230" max="9230" width="7.625" style="12" customWidth="1"/>
    <col min="9231" max="9231" width="6.5" style="12" bestFit="1" customWidth="1"/>
    <col min="9232" max="9232" width="7.5" style="12" bestFit="1" customWidth="1"/>
    <col min="9233" max="9234" width="9.125" style="12"/>
    <col min="9235" max="9235" width="5.5" style="12" customWidth="1"/>
    <col min="9236" max="9236" width="9.125" style="12"/>
    <col min="9237" max="9237" width="64.375" style="12" customWidth="1"/>
    <col min="9238" max="9238" width="8.125" style="12" customWidth="1"/>
    <col min="9239" max="9239" width="0" style="12" hidden="1" customWidth="1"/>
    <col min="9240" max="9240" width="4.875" style="12" customWidth="1"/>
    <col min="9241" max="9482" width="9.125" style="12"/>
    <col min="9483" max="9483" width="9" style="12" customWidth="1"/>
    <col min="9484" max="9484" width="15.625" style="12" customWidth="1"/>
    <col min="9485" max="9485" width="7.5" style="12" customWidth="1"/>
    <col min="9486" max="9486" width="7.625" style="12" customWidth="1"/>
    <col min="9487" max="9487" width="6.5" style="12" bestFit="1" customWidth="1"/>
    <col min="9488" max="9488" width="7.5" style="12" bestFit="1" customWidth="1"/>
    <col min="9489" max="9490" width="9.125" style="12"/>
    <col min="9491" max="9491" width="5.5" style="12" customWidth="1"/>
    <col min="9492" max="9492" width="9.125" style="12"/>
    <col min="9493" max="9493" width="64.375" style="12" customWidth="1"/>
    <col min="9494" max="9494" width="8.125" style="12" customWidth="1"/>
    <col min="9495" max="9495" width="0" style="12" hidden="1" customWidth="1"/>
    <col min="9496" max="9496" width="4.875" style="12" customWidth="1"/>
    <col min="9497" max="9738" width="9.125" style="12"/>
    <col min="9739" max="9739" width="9" style="12" customWidth="1"/>
    <col min="9740" max="9740" width="15.625" style="12" customWidth="1"/>
    <col min="9741" max="9741" width="7.5" style="12" customWidth="1"/>
    <col min="9742" max="9742" width="7.625" style="12" customWidth="1"/>
    <col min="9743" max="9743" width="6.5" style="12" bestFit="1" customWidth="1"/>
    <col min="9744" max="9744" width="7.5" style="12" bestFit="1" customWidth="1"/>
    <col min="9745" max="9746" width="9.125" style="12"/>
    <col min="9747" max="9747" width="5.5" style="12" customWidth="1"/>
    <col min="9748" max="9748" width="9.125" style="12"/>
    <col min="9749" max="9749" width="64.375" style="12" customWidth="1"/>
    <col min="9750" max="9750" width="8.125" style="12" customWidth="1"/>
    <col min="9751" max="9751" width="0" style="12" hidden="1" customWidth="1"/>
    <col min="9752" max="9752" width="4.875" style="12" customWidth="1"/>
    <col min="9753" max="9994" width="9.125" style="12"/>
    <col min="9995" max="9995" width="9" style="12" customWidth="1"/>
    <col min="9996" max="9996" width="15.625" style="12" customWidth="1"/>
    <col min="9997" max="9997" width="7.5" style="12" customWidth="1"/>
    <col min="9998" max="9998" width="7.625" style="12" customWidth="1"/>
    <col min="9999" max="9999" width="6.5" style="12" bestFit="1" customWidth="1"/>
    <col min="10000" max="10000" width="7.5" style="12" bestFit="1" customWidth="1"/>
    <col min="10001" max="10002" width="9.125" style="12"/>
    <col min="10003" max="10003" width="5.5" style="12" customWidth="1"/>
    <col min="10004" max="10004" width="9.125" style="12"/>
    <col min="10005" max="10005" width="64.375" style="12" customWidth="1"/>
    <col min="10006" max="10006" width="8.125" style="12" customWidth="1"/>
    <col min="10007" max="10007" width="0" style="12" hidden="1" customWidth="1"/>
    <col min="10008" max="10008" width="4.875" style="12" customWidth="1"/>
    <col min="10009" max="10250" width="9.125" style="12"/>
    <col min="10251" max="10251" width="9" style="12" customWidth="1"/>
    <col min="10252" max="10252" width="15.625" style="12" customWidth="1"/>
    <col min="10253" max="10253" width="7.5" style="12" customWidth="1"/>
    <col min="10254" max="10254" width="7.625" style="12" customWidth="1"/>
    <col min="10255" max="10255" width="6.5" style="12" bestFit="1" customWidth="1"/>
    <col min="10256" max="10256" width="7.5" style="12" bestFit="1" customWidth="1"/>
    <col min="10257" max="10258" width="9.125" style="12"/>
    <col min="10259" max="10259" width="5.5" style="12" customWidth="1"/>
    <col min="10260" max="10260" width="9.125" style="12"/>
    <col min="10261" max="10261" width="64.375" style="12" customWidth="1"/>
    <col min="10262" max="10262" width="8.125" style="12" customWidth="1"/>
    <col min="10263" max="10263" width="0" style="12" hidden="1" customWidth="1"/>
    <col min="10264" max="10264" width="4.875" style="12" customWidth="1"/>
    <col min="10265" max="10506" width="9.125" style="12"/>
    <col min="10507" max="10507" width="9" style="12" customWidth="1"/>
    <col min="10508" max="10508" width="15.625" style="12" customWidth="1"/>
    <col min="10509" max="10509" width="7.5" style="12" customWidth="1"/>
    <col min="10510" max="10510" width="7.625" style="12" customWidth="1"/>
    <col min="10511" max="10511" width="6.5" style="12" bestFit="1" customWidth="1"/>
    <col min="10512" max="10512" width="7.5" style="12" bestFit="1" customWidth="1"/>
    <col min="10513" max="10514" width="9.125" style="12"/>
    <col min="10515" max="10515" width="5.5" style="12" customWidth="1"/>
    <col min="10516" max="10516" width="9.125" style="12"/>
    <col min="10517" max="10517" width="64.375" style="12" customWidth="1"/>
    <col min="10518" max="10518" width="8.125" style="12" customWidth="1"/>
    <col min="10519" max="10519" width="0" style="12" hidden="1" customWidth="1"/>
    <col min="10520" max="10520" width="4.875" style="12" customWidth="1"/>
    <col min="10521" max="10762" width="9.125" style="12"/>
    <col min="10763" max="10763" width="9" style="12" customWidth="1"/>
    <col min="10764" max="10764" width="15.625" style="12" customWidth="1"/>
    <col min="10765" max="10765" width="7.5" style="12" customWidth="1"/>
    <col min="10766" max="10766" width="7.625" style="12" customWidth="1"/>
    <col min="10767" max="10767" width="6.5" style="12" bestFit="1" customWidth="1"/>
    <col min="10768" max="10768" width="7.5" style="12" bestFit="1" customWidth="1"/>
    <col min="10769" max="10770" width="9.125" style="12"/>
    <col min="10771" max="10771" width="5.5" style="12" customWidth="1"/>
    <col min="10772" max="10772" width="9.125" style="12"/>
    <col min="10773" max="10773" width="64.375" style="12" customWidth="1"/>
    <col min="10774" max="10774" width="8.125" style="12" customWidth="1"/>
    <col min="10775" max="10775" width="0" style="12" hidden="1" customWidth="1"/>
    <col min="10776" max="10776" width="4.875" style="12" customWidth="1"/>
    <col min="10777" max="11018" width="9.125" style="12"/>
    <col min="11019" max="11019" width="9" style="12" customWidth="1"/>
    <col min="11020" max="11020" width="15.625" style="12" customWidth="1"/>
    <col min="11021" max="11021" width="7.5" style="12" customWidth="1"/>
    <col min="11022" max="11022" width="7.625" style="12" customWidth="1"/>
    <col min="11023" max="11023" width="6.5" style="12" bestFit="1" customWidth="1"/>
    <col min="11024" max="11024" width="7.5" style="12" bestFit="1" customWidth="1"/>
    <col min="11025" max="11026" width="9.125" style="12"/>
    <col min="11027" max="11027" width="5.5" style="12" customWidth="1"/>
    <col min="11028" max="11028" width="9.125" style="12"/>
    <col min="11029" max="11029" width="64.375" style="12" customWidth="1"/>
    <col min="11030" max="11030" width="8.125" style="12" customWidth="1"/>
    <col min="11031" max="11031" width="0" style="12" hidden="1" customWidth="1"/>
    <col min="11032" max="11032" width="4.875" style="12" customWidth="1"/>
    <col min="11033" max="11274" width="9.125" style="12"/>
    <col min="11275" max="11275" width="9" style="12" customWidth="1"/>
    <col min="11276" max="11276" width="15.625" style="12" customWidth="1"/>
    <col min="11277" max="11277" width="7.5" style="12" customWidth="1"/>
    <col min="11278" max="11278" width="7.625" style="12" customWidth="1"/>
    <col min="11279" max="11279" width="6.5" style="12" bestFit="1" customWidth="1"/>
    <col min="11280" max="11280" width="7.5" style="12" bestFit="1" customWidth="1"/>
    <col min="11281" max="11282" width="9.125" style="12"/>
    <col min="11283" max="11283" width="5.5" style="12" customWidth="1"/>
    <col min="11284" max="11284" width="9.125" style="12"/>
    <col min="11285" max="11285" width="64.375" style="12" customWidth="1"/>
    <col min="11286" max="11286" width="8.125" style="12" customWidth="1"/>
    <col min="11287" max="11287" width="0" style="12" hidden="1" customWidth="1"/>
    <col min="11288" max="11288" width="4.875" style="12" customWidth="1"/>
    <col min="11289" max="11530" width="9.125" style="12"/>
    <col min="11531" max="11531" width="9" style="12" customWidth="1"/>
    <col min="11532" max="11532" width="15.625" style="12" customWidth="1"/>
    <col min="11533" max="11533" width="7.5" style="12" customWidth="1"/>
    <col min="11534" max="11534" width="7.625" style="12" customWidth="1"/>
    <col min="11535" max="11535" width="6.5" style="12" bestFit="1" customWidth="1"/>
    <col min="11536" max="11536" width="7.5" style="12" bestFit="1" customWidth="1"/>
    <col min="11537" max="11538" width="9.125" style="12"/>
    <col min="11539" max="11539" width="5.5" style="12" customWidth="1"/>
    <col min="11540" max="11540" width="9.125" style="12"/>
    <col min="11541" max="11541" width="64.375" style="12" customWidth="1"/>
    <col min="11542" max="11542" width="8.125" style="12" customWidth="1"/>
    <col min="11543" max="11543" width="0" style="12" hidden="1" customWidth="1"/>
    <col min="11544" max="11544" width="4.875" style="12" customWidth="1"/>
    <col min="11545" max="11786" width="9.125" style="12"/>
    <col min="11787" max="11787" width="9" style="12" customWidth="1"/>
    <col min="11788" max="11788" width="15.625" style="12" customWidth="1"/>
    <col min="11789" max="11789" width="7.5" style="12" customWidth="1"/>
    <col min="11790" max="11790" width="7.625" style="12" customWidth="1"/>
    <col min="11791" max="11791" width="6.5" style="12" bestFit="1" customWidth="1"/>
    <col min="11792" max="11792" width="7.5" style="12" bestFit="1" customWidth="1"/>
    <col min="11793" max="11794" width="9.125" style="12"/>
    <col min="11795" max="11795" width="5.5" style="12" customWidth="1"/>
    <col min="11796" max="11796" width="9.125" style="12"/>
    <col min="11797" max="11797" width="64.375" style="12" customWidth="1"/>
    <col min="11798" max="11798" width="8.125" style="12" customWidth="1"/>
    <col min="11799" max="11799" width="0" style="12" hidden="1" customWidth="1"/>
    <col min="11800" max="11800" width="4.875" style="12" customWidth="1"/>
    <col min="11801" max="12042" width="9.125" style="12"/>
    <col min="12043" max="12043" width="9" style="12" customWidth="1"/>
    <col min="12044" max="12044" width="15.625" style="12" customWidth="1"/>
    <col min="12045" max="12045" width="7.5" style="12" customWidth="1"/>
    <col min="12046" max="12046" width="7.625" style="12" customWidth="1"/>
    <col min="12047" max="12047" width="6.5" style="12" bestFit="1" customWidth="1"/>
    <col min="12048" max="12048" width="7.5" style="12" bestFit="1" customWidth="1"/>
    <col min="12049" max="12050" width="9.125" style="12"/>
    <col min="12051" max="12051" width="5.5" style="12" customWidth="1"/>
    <col min="12052" max="12052" width="9.125" style="12"/>
    <col min="12053" max="12053" width="64.375" style="12" customWidth="1"/>
    <col min="12054" max="12054" width="8.125" style="12" customWidth="1"/>
    <col min="12055" max="12055" width="0" style="12" hidden="1" customWidth="1"/>
    <col min="12056" max="12056" width="4.875" style="12" customWidth="1"/>
    <col min="12057" max="12298" width="9.125" style="12"/>
    <col min="12299" max="12299" width="9" style="12" customWidth="1"/>
    <col min="12300" max="12300" width="15.625" style="12" customWidth="1"/>
    <col min="12301" max="12301" width="7.5" style="12" customWidth="1"/>
    <col min="12302" max="12302" width="7.625" style="12" customWidth="1"/>
    <col min="12303" max="12303" width="6.5" style="12" bestFit="1" customWidth="1"/>
    <col min="12304" max="12304" width="7.5" style="12" bestFit="1" customWidth="1"/>
    <col min="12305" max="12306" width="9.125" style="12"/>
    <col min="12307" max="12307" width="5.5" style="12" customWidth="1"/>
    <col min="12308" max="12308" width="9.125" style="12"/>
    <col min="12309" max="12309" width="64.375" style="12" customWidth="1"/>
    <col min="12310" max="12310" width="8.125" style="12" customWidth="1"/>
    <col min="12311" max="12311" width="0" style="12" hidden="1" customWidth="1"/>
    <col min="12312" max="12312" width="4.875" style="12" customWidth="1"/>
    <col min="12313" max="12554" width="9.125" style="12"/>
    <col min="12555" max="12555" width="9" style="12" customWidth="1"/>
    <col min="12556" max="12556" width="15.625" style="12" customWidth="1"/>
    <col min="12557" max="12557" width="7.5" style="12" customWidth="1"/>
    <col min="12558" max="12558" width="7.625" style="12" customWidth="1"/>
    <col min="12559" max="12559" width="6.5" style="12" bestFit="1" customWidth="1"/>
    <col min="12560" max="12560" width="7.5" style="12" bestFit="1" customWidth="1"/>
    <col min="12561" max="12562" width="9.125" style="12"/>
    <col min="12563" max="12563" width="5.5" style="12" customWidth="1"/>
    <col min="12564" max="12564" width="9.125" style="12"/>
    <col min="12565" max="12565" width="64.375" style="12" customWidth="1"/>
    <col min="12566" max="12566" width="8.125" style="12" customWidth="1"/>
    <col min="12567" max="12567" width="0" style="12" hidden="1" customWidth="1"/>
    <col min="12568" max="12568" width="4.875" style="12" customWidth="1"/>
    <col min="12569" max="12810" width="9.125" style="12"/>
    <col min="12811" max="12811" width="9" style="12" customWidth="1"/>
    <col min="12812" max="12812" width="15.625" style="12" customWidth="1"/>
    <col min="12813" max="12813" width="7.5" style="12" customWidth="1"/>
    <col min="12814" max="12814" width="7.625" style="12" customWidth="1"/>
    <col min="12815" max="12815" width="6.5" style="12" bestFit="1" customWidth="1"/>
    <col min="12816" max="12816" width="7.5" style="12" bestFit="1" customWidth="1"/>
    <col min="12817" max="12818" width="9.125" style="12"/>
    <col min="12819" max="12819" width="5.5" style="12" customWidth="1"/>
    <col min="12820" max="12820" width="9.125" style="12"/>
    <col min="12821" max="12821" width="64.375" style="12" customWidth="1"/>
    <col min="12822" max="12822" width="8.125" style="12" customWidth="1"/>
    <col min="12823" max="12823" width="0" style="12" hidden="1" customWidth="1"/>
    <col min="12824" max="12824" width="4.875" style="12" customWidth="1"/>
    <col min="12825" max="13066" width="9.125" style="12"/>
    <col min="13067" max="13067" width="9" style="12" customWidth="1"/>
    <col min="13068" max="13068" width="15.625" style="12" customWidth="1"/>
    <col min="13069" max="13069" width="7.5" style="12" customWidth="1"/>
    <col min="13070" max="13070" width="7.625" style="12" customWidth="1"/>
    <col min="13071" max="13071" width="6.5" style="12" bestFit="1" customWidth="1"/>
    <col min="13072" max="13072" width="7.5" style="12" bestFit="1" customWidth="1"/>
    <col min="13073" max="13074" width="9.125" style="12"/>
    <col min="13075" max="13075" width="5.5" style="12" customWidth="1"/>
    <col min="13076" max="13076" width="9.125" style="12"/>
    <col min="13077" max="13077" width="64.375" style="12" customWidth="1"/>
    <col min="13078" max="13078" width="8.125" style="12" customWidth="1"/>
    <col min="13079" max="13079" width="0" style="12" hidden="1" customWidth="1"/>
    <col min="13080" max="13080" width="4.875" style="12" customWidth="1"/>
    <col min="13081" max="13322" width="9.125" style="12"/>
    <col min="13323" max="13323" width="9" style="12" customWidth="1"/>
    <col min="13324" max="13324" width="15.625" style="12" customWidth="1"/>
    <col min="13325" max="13325" width="7.5" style="12" customWidth="1"/>
    <col min="13326" max="13326" width="7.625" style="12" customWidth="1"/>
    <col min="13327" max="13327" width="6.5" style="12" bestFit="1" customWidth="1"/>
    <col min="13328" max="13328" width="7.5" style="12" bestFit="1" customWidth="1"/>
    <col min="13329" max="13330" width="9.125" style="12"/>
    <col min="13331" max="13331" width="5.5" style="12" customWidth="1"/>
    <col min="13332" max="13332" width="9.125" style="12"/>
    <col min="13333" max="13333" width="64.375" style="12" customWidth="1"/>
    <col min="13334" max="13334" width="8.125" style="12" customWidth="1"/>
    <col min="13335" max="13335" width="0" style="12" hidden="1" customWidth="1"/>
    <col min="13336" max="13336" width="4.875" style="12" customWidth="1"/>
    <col min="13337" max="13578" width="9.125" style="12"/>
    <col min="13579" max="13579" width="9" style="12" customWidth="1"/>
    <col min="13580" max="13580" width="15.625" style="12" customWidth="1"/>
    <col min="13581" max="13581" width="7.5" style="12" customWidth="1"/>
    <col min="13582" max="13582" width="7.625" style="12" customWidth="1"/>
    <col min="13583" max="13583" width="6.5" style="12" bestFit="1" customWidth="1"/>
    <col min="13584" max="13584" width="7.5" style="12" bestFit="1" customWidth="1"/>
    <col min="13585" max="13586" width="9.125" style="12"/>
    <col min="13587" max="13587" width="5.5" style="12" customWidth="1"/>
    <col min="13588" max="13588" width="9.125" style="12"/>
    <col min="13589" max="13589" width="64.375" style="12" customWidth="1"/>
    <col min="13590" max="13590" width="8.125" style="12" customWidth="1"/>
    <col min="13591" max="13591" width="0" style="12" hidden="1" customWidth="1"/>
    <col min="13592" max="13592" width="4.875" style="12" customWidth="1"/>
    <col min="13593" max="13834" width="9.125" style="12"/>
    <col min="13835" max="13835" width="9" style="12" customWidth="1"/>
    <col min="13836" max="13836" width="15.625" style="12" customWidth="1"/>
    <col min="13837" max="13837" width="7.5" style="12" customWidth="1"/>
    <col min="13838" max="13838" width="7.625" style="12" customWidth="1"/>
    <col min="13839" max="13839" width="6.5" style="12" bestFit="1" customWidth="1"/>
    <col min="13840" max="13840" width="7.5" style="12" bestFit="1" customWidth="1"/>
    <col min="13841" max="13842" width="9.125" style="12"/>
    <col min="13843" max="13843" width="5.5" style="12" customWidth="1"/>
    <col min="13844" max="13844" width="9.125" style="12"/>
    <col min="13845" max="13845" width="64.375" style="12" customWidth="1"/>
    <col min="13846" max="13846" width="8.125" style="12" customWidth="1"/>
    <col min="13847" max="13847" width="0" style="12" hidden="1" customWidth="1"/>
    <col min="13848" max="13848" width="4.875" style="12" customWidth="1"/>
    <col min="13849" max="14090" width="9.125" style="12"/>
    <col min="14091" max="14091" width="9" style="12" customWidth="1"/>
    <col min="14092" max="14092" width="15.625" style="12" customWidth="1"/>
    <col min="14093" max="14093" width="7.5" style="12" customWidth="1"/>
    <col min="14094" max="14094" width="7.625" style="12" customWidth="1"/>
    <col min="14095" max="14095" width="6.5" style="12" bestFit="1" customWidth="1"/>
    <col min="14096" max="14096" width="7.5" style="12" bestFit="1" customWidth="1"/>
    <col min="14097" max="14098" width="9.125" style="12"/>
    <col min="14099" max="14099" width="5.5" style="12" customWidth="1"/>
    <col min="14100" max="14100" width="9.125" style="12"/>
    <col min="14101" max="14101" width="64.375" style="12" customWidth="1"/>
    <col min="14102" max="14102" width="8.125" style="12" customWidth="1"/>
    <col min="14103" max="14103" width="0" style="12" hidden="1" customWidth="1"/>
    <col min="14104" max="14104" width="4.875" style="12" customWidth="1"/>
    <col min="14105" max="14346" width="9.125" style="12"/>
    <col min="14347" max="14347" width="9" style="12" customWidth="1"/>
    <col min="14348" max="14348" width="15.625" style="12" customWidth="1"/>
    <col min="14349" max="14349" width="7.5" style="12" customWidth="1"/>
    <col min="14350" max="14350" width="7.625" style="12" customWidth="1"/>
    <col min="14351" max="14351" width="6.5" style="12" bestFit="1" customWidth="1"/>
    <col min="14352" max="14352" width="7.5" style="12" bestFit="1" customWidth="1"/>
    <col min="14353" max="14354" width="9.125" style="12"/>
    <col min="14355" max="14355" width="5.5" style="12" customWidth="1"/>
    <col min="14356" max="14356" width="9.125" style="12"/>
    <col min="14357" max="14357" width="64.375" style="12" customWidth="1"/>
    <col min="14358" max="14358" width="8.125" style="12" customWidth="1"/>
    <col min="14359" max="14359" width="0" style="12" hidden="1" customWidth="1"/>
    <col min="14360" max="14360" width="4.875" style="12" customWidth="1"/>
    <col min="14361" max="14602" width="9.125" style="12"/>
    <col min="14603" max="14603" width="9" style="12" customWidth="1"/>
    <col min="14604" max="14604" width="15.625" style="12" customWidth="1"/>
    <col min="14605" max="14605" width="7.5" style="12" customWidth="1"/>
    <col min="14606" max="14606" width="7.625" style="12" customWidth="1"/>
    <col min="14607" max="14607" width="6.5" style="12" bestFit="1" customWidth="1"/>
    <col min="14608" max="14608" width="7.5" style="12" bestFit="1" customWidth="1"/>
    <col min="14609" max="14610" width="9.125" style="12"/>
    <col min="14611" max="14611" width="5.5" style="12" customWidth="1"/>
    <col min="14612" max="14612" width="9.125" style="12"/>
    <col min="14613" max="14613" width="64.375" style="12" customWidth="1"/>
    <col min="14614" max="14614" width="8.125" style="12" customWidth="1"/>
    <col min="14615" max="14615" width="0" style="12" hidden="1" customWidth="1"/>
    <col min="14616" max="14616" width="4.875" style="12" customWidth="1"/>
    <col min="14617" max="14858" width="9.125" style="12"/>
    <col min="14859" max="14859" width="9" style="12" customWidth="1"/>
    <col min="14860" max="14860" width="15.625" style="12" customWidth="1"/>
    <col min="14861" max="14861" width="7.5" style="12" customWidth="1"/>
    <col min="14862" max="14862" width="7.625" style="12" customWidth="1"/>
    <col min="14863" max="14863" width="6.5" style="12" bestFit="1" customWidth="1"/>
    <col min="14864" max="14864" width="7.5" style="12" bestFit="1" customWidth="1"/>
    <col min="14865" max="14866" width="9.125" style="12"/>
    <col min="14867" max="14867" width="5.5" style="12" customWidth="1"/>
    <col min="14868" max="14868" width="9.125" style="12"/>
    <col min="14869" max="14869" width="64.375" style="12" customWidth="1"/>
    <col min="14870" max="14870" width="8.125" style="12" customWidth="1"/>
    <col min="14871" max="14871" width="0" style="12" hidden="1" customWidth="1"/>
    <col min="14872" max="14872" width="4.875" style="12" customWidth="1"/>
    <col min="14873" max="15114" width="9.125" style="12"/>
    <col min="15115" max="15115" width="9" style="12" customWidth="1"/>
    <col min="15116" max="15116" width="15.625" style="12" customWidth="1"/>
    <col min="15117" max="15117" width="7.5" style="12" customWidth="1"/>
    <col min="15118" max="15118" width="7.625" style="12" customWidth="1"/>
    <col min="15119" max="15119" width="6.5" style="12" bestFit="1" customWidth="1"/>
    <col min="15120" max="15120" width="7.5" style="12" bestFit="1" customWidth="1"/>
    <col min="15121" max="15122" width="9.125" style="12"/>
    <col min="15123" max="15123" width="5.5" style="12" customWidth="1"/>
    <col min="15124" max="15124" width="9.125" style="12"/>
    <col min="15125" max="15125" width="64.375" style="12" customWidth="1"/>
    <col min="15126" max="15126" width="8.125" style="12" customWidth="1"/>
    <col min="15127" max="15127" width="0" style="12" hidden="1" customWidth="1"/>
    <col min="15128" max="15128" width="4.875" style="12" customWidth="1"/>
    <col min="15129" max="15370" width="9.125" style="12"/>
    <col min="15371" max="15371" width="9" style="12" customWidth="1"/>
    <col min="15372" max="15372" width="15.625" style="12" customWidth="1"/>
    <col min="15373" max="15373" width="7.5" style="12" customWidth="1"/>
    <col min="15374" max="15374" width="7.625" style="12" customWidth="1"/>
    <col min="15375" max="15375" width="6.5" style="12" bestFit="1" customWidth="1"/>
    <col min="15376" max="15376" width="7.5" style="12" bestFit="1" customWidth="1"/>
    <col min="15377" max="15378" width="9.125" style="12"/>
    <col min="15379" max="15379" width="5.5" style="12" customWidth="1"/>
    <col min="15380" max="15380" width="9.125" style="12"/>
    <col min="15381" max="15381" width="64.375" style="12" customWidth="1"/>
    <col min="15382" max="15382" width="8.125" style="12" customWidth="1"/>
    <col min="15383" max="15383" width="0" style="12" hidden="1" customWidth="1"/>
    <col min="15384" max="15384" width="4.875" style="12" customWidth="1"/>
    <col min="15385" max="15626" width="9.125" style="12"/>
    <col min="15627" max="15627" width="9" style="12" customWidth="1"/>
    <col min="15628" max="15628" width="15.625" style="12" customWidth="1"/>
    <col min="15629" max="15629" width="7.5" style="12" customWidth="1"/>
    <col min="15630" max="15630" width="7.625" style="12" customWidth="1"/>
    <col min="15631" max="15631" width="6.5" style="12" bestFit="1" customWidth="1"/>
    <col min="15632" max="15632" width="7.5" style="12" bestFit="1" customWidth="1"/>
    <col min="15633" max="15634" width="9.125" style="12"/>
    <col min="15635" max="15635" width="5.5" style="12" customWidth="1"/>
    <col min="15636" max="15636" width="9.125" style="12"/>
    <col min="15637" max="15637" width="64.375" style="12" customWidth="1"/>
    <col min="15638" max="15638" width="8.125" style="12" customWidth="1"/>
    <col min="15639" max="15639" width="0" style="12" hidden="1" customWidth="1"/>
    <col min="15640" max="15640" width="4.875" style="12" customWidth="1"/>
    <col min="15641" max="15882" width="9.125" style="12"/>
    <col min="15883" max="15883" width="9" style="12" customWidth="1"/>
    <col min="15884" max="15884" width="15.625" style="12" customWidth="1"/>
    <col min="15885" max="15885" width="7.5" style="12" customWidth="1"/>
    <col min="15886" max="15886" width="7.625" style="12" customWidth="1"/>
    <col min="15887" max="15887" width="6.5" style="12" bestFit="1" customWidth="1"/>
    <col min="15888" max="15888" width="7.5" style="12" bestFit="1" customWidth="1"/>
    <col min="15889" max="15890" width="9.125" style="12"/>
    <col min="15891" max="15891" width="5.5" style="12" customWidth="1"/>
    <col min="15892" max="15892" width="9.125" style="12"/>
    <col min="15893" max="15893" width="64.375" style="12" customWidth="1"/>
    <col min="15894" max="15894" width="8.125" style="12" customWidth="1"/>
    <col min="15895" max="15895" width="0" style="12" hidden="1" customWidth="1"/>
    <col min="15896" max="15896" width="4.875" style="12" customWidth="1"/>
    <col min="15897" max="16138" width="9.125" style="12"/>
    <col min="16139" max="16139" width="9" style="12" customWidth="1"/>
    <col min="16140" max="16140" width="15.625" style="12" customWidth="1"/>
    <col min="16141" max="16141" width="7.5" style="12" customWidth="1"/>
    <col min="16142" max="16142" width="7.625" style="12" customWidth="1"/>
    <col min="16143" max="16143" width="6.5" style="12" bestFit="1" customWidth="1"/>
    <col min="16144" max="16144" width="7.5" style="12" bestFit="1" customWidth="1"/>
    <col min="16145" max="16146" width="9.125" style="12"/>
    <col min="16147" max="16147" width="5.5" style="12" customWidth="1"/>
    <col min="16148" max="16148" width="9.125" style="12"/>
    <col min="16149" max="16149" width="64.375" style="12" customWidth="1"/>
    <col min="16150" max="16150" width="8.125" style="12" customWidth="1"/>
    <col min="16151" max="16151" width="0" style="12" hidden="1" customWidth="1"/>
    <col min="16152" max="16152" width="4.875" style="12" customWidth="1"/>
    <col min="16153" max="16384" width="9.125" style="12"/>
  </cols>
  <sheetData>
    <row r="2" spans="1:23">
      <c r="A2" s="12" t="s">
        <v>30</v>
      </c>
    </row>
    <row r="4" spans="1:23" ht="15" thickBot="1"/>
    <row r="5" spans="1:23" ht="28.5">
      <c r="A5" s="19" t="s">
        <v>10</v>
      </c>
      <c r="B5" s="20" t="s">
        <v>11</v>
      </c>
      <c r="C5" s="21">
        <f>2023</f>
        <v>2023</v>
      </c>
      <c r="D5" s="21">
        <f t="shared" ref="D5:R5" si="0">+C5+1</f>
        <v>2024</v>
      </c>
      <c r="E5" s="21">
        <f t="shared" si="0"/>
        <v>2025</v>
      </c>
      <c r="F5" s="21">
        <f t="shared" si="0"/>
        <v>2026</v>
      </c>
      <c r="G5" s="21">
        <f t="shared" si="0"/>
        <v>2027</v>
      </c>
      <c r="H5" s="21">
        <f t="shared" si="0"/>
        <v>2028</v>
      </c>
      <c r="I5" s="21">
        <f t="shared" si="0"/>
        <v>2029</v>
      </c>
      <c r="J5" s="21">
        <f t="shared" si="0"/>
        <v>2030</v>
      </c>
      <c r="K5" s="21">
        <f t="shared" si="0"/>
        <v>2031</v>
      </c>
      <c r="L5" s="21">
        <f t="shared" si="0"/>
        <v>2032</v>
      </c>
      <c r="M5" s="21">
        <f t="shared" si="0"/>
        <v>2033</v>
      </c>
      <c r="N5" s="21">
        <f t="shared" si="0"/>
        <v>2034</v>
      </c>
      <c r="O5" s="21">
        <f t="shared" si="0"/>
        <v>2035</v>
      </c>
      <c r="P5" s="21">
        <f t="shared" si="0"/>
        <v>2036</v>
      </c>
      <c r="Q5" s="21">
        <f t="shared" si="0"/>
        <v>2037</v>
      </c>
      <c r="R5" s="21">
        <f t="shared" si="0"/>
        <v>2038</v>
      </c>
      <c r="S5" s="20" t="s">
        <v>12</v>
      </c>
      <c r="T5" s="14"/>
      <c r="U5" s="15" t="s">
        <v>13</v>
      </c>
      <c r="V5" s="16" t="s">
        <v>14</v>
      </c>
      <c r="W5" s="17" t="s">
        <v>15</v>
      </c>
    </row>
    <row r="6" spans="1:23">
      <c r="A6" s="22">
        <v>2023</v>
      </c>
      <c r="B6" s="23">
        <v>1652.3536082360788</v>
      </c>
      <c r="C6" s="24">
        <f t="shared" ref="C6:R6" si="1">$W$6*(1-$W$7)*$W$8*(1-$W$9)*(16/12)*$W$10*$W$11*$W$17*($B6*$W$18*EXP(-$W$19*(C$5-$A6))*(1-EXP(-$W$19)))</f>
        <v>177.82569078243034</v>
      </c>
      <c r="D6" s="24">
        <f t="shared" si="1"/>
        <v>172.57014736998764</v>
      </c>
      <c r="E6" s="24">
        <f t="shared" si="1"/>
        <v>167.46992873901235</v>
      </c>
      <c r="F6" s="24">
        <f t="shared" si="1"/>
        <v>162.52044434846147</v>
      </c>
      <c r="G6" s="24">
        <f t="shared" si="1"/>
        <v>157.71723932828331</v>
      </c>
      <c r="H6" s="24">
        <f t="shared" si="1"/>
        <v>153.05599046973367</v>
      </c>
      <c r="I6" s="24">
        <f t="shared" si="1"/>
        <v>148.53250233419607</v>
      </c>
      <c r="J6" s="24">
        <f t="shared" si="1"/>
        <v>144.14270347700395</v>
      </c>
      <c r="K6" s="24">
        <f t="shared" si="1"/>
        <v>139.88264278286553</v>
      </c>
      <c r="L6" s="24">
        <f t="shared" si="1"/>
        <v>135.74848590959328</v>
      </c>
      <c r="M6" s="24">
        <f t="shared" si="1"/>
        <v>131.73651183693741</v>
      </c>
      <c r="N6" s="24">
        <f t="shared" si="1"/>
        <v>127.8431095174161</v>
      </c>
      <c r="O6" s="24">
        <f t="shared" si="1"/>
        <v>124.06477462612921</v>
      </c>
      <c r="P6" s="24">
        <f t="shared" si="1"/>
        <v>120.39810640662938</v>
      </c>
      <c r="Q6" s="24">
        <f t="shared" si="1"/>
        <v>116.8398046100115</v>
      </c>
      <c r="R6" s="24">
        <f t="shared" si="1"/>
        <v>113.38666652446608</v>
      </c>
      <c r="S6" s="25"/>
      <c r="U6" s="26" t="s">
        <v>16</v>
      </c>
      <c r="V6" s="27" t="s">
        <v>17</v>
      </c>
      <c r="W6" s="28">
        <v>0.85</v>
      </c>
    </row>
    <row r="7" spans="1:23">
      <c r="A7" s="29">
        <f t="shared" ref="A7:A21" si="2">A6+1</f>
        <v>2024</v>
      </c>
      <c r="B7" s="23">
        <v>1652.3536082360788</v>
      </c>
      <c r="C7" s="24"/>
      <c r="D7" s="24">
        <f t="shared" ref="D7:R7" si="3">$W$6*(1-$W$7)*$W$8*(1-$W$9)*(16/12)*$W$10*$W$11*$W$17*($B7*$W$18*EXP(-$W$19*(D$5-$A7))*(1-EXP(-$W$19)))</f>
        <v>177.82569078243034</v>
      </c>
      <c r="E7" s="24">
        <f t="shared" si="3"/>
        <v>172.57014736998764</v>
      </c>
      <c r="F7" s="24">
        <f t="shared" si="3"/>
        <v>167.46992873901235</v>
      </c>
      <c r="G7" s="24">
        <f t="shared" si="3"/>
        <v>162.52044434846147</v>
      </c>
      <c r="H7" s="24">
        <f t="shared" si="3"/>
        <v>157.71723932828331</v>
      </c>
      <c r="I7" s="24">
        <f t="shared" si="3"/>
        <v>153.05599046973367</v>
      </c>
      <c r="J7" s="24">
        <f t="shared" si="3"/>
        <v>148.53250233419607</v>
      </c>
      <c r="K7" s="24">
        <f t="shared" si="3"/>
        <v>144.14270347700395</v>
      </c>
      <c r="L7" s="24">
        <f t="shared" si="3"/>
        <v>139.88264278286553</v>
      </c>
      <c r="M7" s="24">
        <f t="shared" si="3"/>
        <v>135.74848590959328</v>
      </c>
      <c r="N7" s="24">
        <f t="shared" si="3"/>
        <v>131.73651183693741</v>
      </c>
      <c r="O7" s="24">
        <f t="shared" si="3"/>
        <v>127.8431095174161</v>
      </c>
      <c r="P7" s="24">
        <f t="shared" si="3"/>
        <v>124.06477462612921</v>
      </c>
      <c r="Q7" s="24">
        <f t="shared" si="3"/>
        <v>120.39810640662938</v>
      </c>
      <c r="R7" s="24">
        <f t="shared" si="3"/>
        <v>116.8398046100115</v>
      </c>
      <c r="S7" s="25"/>
      <c r="U7" s="30" t="s">
        <v>18</v>
      </c>
      <c r="V7" s="27" t="s">
        <v>19</v>
      </c>
      <c r="W7" s="31">
        <v>0</v>
      </c>
    </row>
    <row r="8" spans="1:23" ht="18.75">
      <c r="A8" s="29">
        <f t="shared" si="2"/>
        <v>2025</v>
      </c>
      <c r="B8" s="23">
        <v>1652.3536082360788</v>
      </c>
      <c r="C8" s="24"/>
      <c r="D8" s="24"/>
      <c r="E8" s="24">
        <f t="shared" ref="E8:R8" si="4">$W$6*(1-$W$7)*$W$8*(1-$W$9)*(16/12)*$W$10*$W$11*$W$17*($B8*$W$18*EXP(-$W$19*(E$5-$A8))*(1-EXP(-$W$19)))</f>
        <v>177.82569078243034</v>
      </c>
      <c r="F8" s="24">
        <f t="shared" si="4"/>
        <v>172.57014736998764</v>
      </c>
      <c r="G8" s="24">
        <f t="shared" si="4"/>
        <v>167.46992873901235</v>
      </c>
      <c r="H8" s="24">
        <f t="shared" si="4"/>
        <v>162.52044434846147</v>
      </c>
      <c r="I8" s="24">
        <f t="shared" si="4"/>
        <v>157.71723932828331</v>
      </c>
      <c r="J8" s="24">
        <f t="shared" si="4"/>
        <v>153.05599046973367</v>
      </c>
      <c r="K8" s="24">
        <f t="shared" si="4"/>
        <v>148.53250233419607</v>
      </c>
      <c r="L8" s="24">
        <f t="shared" si="4"/>
        <v>144.14270347700395</v>
      </c>
      <c r="M8" s="24">
        <f t="shared" si="4"/>
        <v>139.88264278286553</v>
      </c>
      <c r="N8" s="24">
        <f t="shared" si="4"/>
        <v>135.74848590959328</v>
      </c>
      <c r="O8" s="24">
        <f t="shared" si="4"/>
        <v>131.73651183693741</v>
      </c>
      <c r="P8" s="24">
        <f t="shared" si="4"/>
        <v>127.8431095174161</v>
      </c>
      <c r="Q8" s="24">
        <f t="shared" si="4"/>
        <v>124.06477462612921</v>
      </c>
      <c r="R8" s="24">
        <f t="shared" si="4"/>
        <v>120.39810640662938</v>
      </c>
      <c r="S8" s="25"/>
      <c r="U8" s="30" t="s">
        <v>34</v>
      </c>
      <c r="V8" s="27" t="s">
        <v>20</v>
      </c>
      <c r="W8" s="32">
        <v>28</v>
      </c>
    </row>
    <row r="9" spans="1:23">
      <c r="A9" s="29">
        <f t="shared" si="2"/>
        <v>2026</v>
      </c>
      <c r="B9" s="23">
        <v>1652.3536082360788</v>
      </c>
      <c r="C9" s="24"/>
      <c r="D9" s="24"/>
      <c r="E9" s="24"/>
      <c r="F9" s="24">
        <f t="shared" ref="F9:R9" si="5">$W$6*(1-$W$7)*$W$8*(1-$W$9)*(16/12)*$W$10*$W$11*$W$17*($B9*$W$18*EXP(-$W$19*(F$5-$A9))*(1-EXP(-$W$19)))</f>
        <v>177.82569078243034</v>
      </c>
      <c r="G9" s="24">
        <f t="shared" si="5"/>
        <v>172.57014736998764</v>
      </c>
      <c r="H9" s="24">
        <f t="shared" si="5"/>
        <v>167.46992873901235</v>
      </c>
      <c r="I9" s="24">
        <f t="shared" si="5"/>
        <v>162.52044434846147</v>
      </c>
      <c r="J9" s="24">
        <f t="shared" si="5"/>
        <v>157.71723932828331</v>
      </c>
      <c r="K9" s="24">
        <f t="shared" si="5"/>
        <v>153.05599046973367</v>
      </c>
      <c r="L9" s="24">
        <f t="shared" si="5"/>
        <v>148.53250233419607</v>
      </c>
      <c r="M9" s="24">
        <f t="shared" si="5"/>
        <v>144.14270347700395</v>
      </c>
      <c r="N9" s="24">
        <f t="shared" si="5"/>
        <v>139.88264278286553</v>
      </c>
      <c r="O9" s="24">
        <f t="shared" si="5"/>
        <v>135.74848590959328</v>
      </c>
      <c r="P9" s="24">
        <f t="shared" si="5"/>
        <v>131.73651183693741</v>
      </c>
      <c r="Q9" s="24">
        <f t="shared" si="5"/>
        <v>127.8431095174161</v>
      </c>
      <c r="R9" s="24">
        <f t="shared" si="5"/>
        <v>124.06477462612921</v>
      </c>
      <c r="S9" s="25"/>
      <c r="U9" s="30" t="s">
        <v>21</v>
      </c>
      <c r="V9" s="27" t="s">
        <v>22</v>
      </c>
      <c r="W9" s="32">
        <v>0.1</v>
      </c>
    </row>
    <row r="10" spans="1:23">
      <c r="A10" s="29">
        <f t="shared" si="2"/>
        <v>2027</v>
      </c>
      <c r="B10" s="23">
        <v>1652.3536082360788</v>
      </c>
      <c r="C10" s="24"/>
      <c r="D10" s="24"/>
      <c r="E10" s="24"/>
      <c r="F10" s="24"/>
      <c r="G10" s="24">
        <f t="shared" ref="G10:R10" si="6">$W$6*(1-$W$7)*$W$8*(1-$W$9)*(16/12)*$W$10*$W$11*$W$17*($B10*$W$18*EXP(-$W$19*(G$5-$A10))*(1-EXP(-$W$19)))</f>
        <v>177.82569078243034</v>
      </c>
      <c r="H10" s="24">
        <f t="shared" si="6"/>
        <v>172.57014736998764</v>
      </c>
      <c r="I10" s="24">
        <f t="shared" si="6"/>
        <v>167.46992873901235</v>
      </c>
      <c r="J10" s="24">
        <f t="shared" si="6"/>
        <v>162.52044434846147</v>
      </c>
      <c r="K10" s="24">
        <f t="shared" si="6"/>
        <v>157.71723932828331</v>
      </c>
      <c r="L10" s="24">
        <f t="shared" si="6"/>
        <v>153.05599046973367</v>
      </c>
      <c r="M10" s="24">
        <f t="shared" si="6"/>
        <v>148.53250233419607</v>
      </c>
      <c r="N10" s="24">
        <f t="shared" si="6"/>
        <v>144.14270347700395</v>
      </c>
      <c r="O10" s="24">
        <f t="shared" si="6"/>
        <v>139.88264278286553</v>
      </c>
      <c r="P10" s="24">
        <f t="shared" si="6"/>
        <v>135.74848590959328</v>
      </c>
      <c r="Q10" s="24">
        <f t="shared" si="6"/>
        <v>131.73651183693741</v>
      </c>
      <c r="R10" s="24">
        <f t="shared" si="6"/>
        <v>127.8431095174161</v>
      </c>
      <c r="S10" s="25"/>
      <c r="U10" s="30" t="s">
        <v>23</v>
      </c>
      <c r="V10" s="27" t="s">
        <v>24</v>
      </c>
      <c r="W10" s="32">
        <v>0.5</v>
      </c>
    </row>
    <row r="11" spans="1:23" ht="18.75">
      <c r="A11" s="29">
        <f t="shared" si="2"/>
        <v>2028</v>
      </c>
      <c r="B11" s="23">
        <v>1652.3536082360788</v>
      </c>
      <c r="C11" s="24"/>
      <c r="D11" s="24"/>
      <c r="E11" s="24"/>
      <c r="F11" s="24"/>
      <c r="G11" s="24"/>
      <c r="H11" s="24">
        <f t="shared" ref="H11:R11" si="7">$W$6*(1-$W$7)*$W$8*(1-$W$9)*(16/12)*$W$10*$W$11*$W$17*($B11*$W$18*EXP(-$W$19*(H$5-$A11))*(1-EXP(-$W$19)))</f>
        <v>177.82569078243034</v>
      </c>
      <c r="I11" s="24">
        <f t="shared" si="7"/>
        <v>172.57014736998764</v>
      </c>
      <c r="J11" s="24">
        <f t="shared" si="7"/>
        <v>167.46992873901235</v>
      </c>
      <c r="K11" s="24">
        <f t="shared" si="7"/>
        <v>162.52044434846147</v>
      </c>
      <c r="L11" s="24">
        <f t="shared" si="7"/>
        <v>157.71723932828331</v>
      </c>
      <c r="M11" s="24">
        <f t="shared" si="7"/>
        <v>153.05599046973367</v>
      </c>
      <c r="N11" s="24">
        <f t="shared" si="7"/>
        <v>148.53250233419607</v>
      </c>
      <c r="O11" s="24">
        <f t="shared" si="7"/>
        <v>144.14270347700395</v>
      </c>
      <c r="P11" s="24">
        <f t="shared" si="7"/>
        <v>139.88264278286553</v>
      </c>
      <c r="Q11" s="24">
        <f t="shared" si="7"/>
        <v>135.74848590959328</v>
      </c>
      <c r="R11" s="24">
        <f t="shared" si="7"/>
        <v>131.73651183693741</v>
      </c>
      <c r="S11" s="25"/>
      <c r="U11" s="30" t="s">
        <v>35</v>
      </c>
      <c r="V11" s="27" t="s">
        <v>25</v>
      </c>
      <c r="W11" s="32">
        <v>0.5</v>
      </c>
    </row>
    <row r="12" spans="1:23">
      <c r="A12" s="29">
        <f t="shared" si="2"/>
        <v>2029</v>
      </c>
      <c r="B12" s="23">
        <v>1652.3536082360799</v>
      </c>
      <c r="C12" s="24"/>
      <c r="D12" s="24"/>
      <c r="E12" s="24"/>
      <c r="F12" s="24"/>
      <c r="G12" s="24"/>
      <c r="H12" s="24"/>
      <c r="I12" s="24">
        <f t="shared" ref="I12:R12" si="8">$W$6*(1-$W$7)*$W$8*(1-$W$9)*(16/12)*$W$10*$W$11*$W$17*($B17*$W$18*EXP(-$W$19*(I$5-$A17))*(1-EXP(-$W$19)))</f>
        <v>206.6039767878388</v>
      </c>
      <c r="J12" s="24">
        <f t="shared" si="8"/>
        <v>200.49790648711783</v>
      </c>
      <c r="K12" s="24">
        <f t="shared" si="8"/>
        <v>194.57229783624996</v>
      </c>
      <c r="L12" s="24">
        <f t="shared" si="8"/>
        <v>188.82181738745882</v>
      </c>
      <c r="M12" s="24">
        <f t="shared" si="8"/>
        <v>183.24128932017149</v>
      </c>
      <c r="N12" s="24">
        <f t="shared" si="8"/>
        <v>177.82569078243034</v>
      </c>
      <c r="O12" s="24">
        <f t="shared" si="8"/>
        <v>172.57014736998764</v>
      </c>
      <c r="P12" s="24">
        <f t="shared" si="8"/>
        <v>167.46992873901235</v>
      </c>
      <c r="Q12" s="24">
        <f t="shared" si="8"/>
        <v>162.52044434846147</v>
      </c>
      <c r="R12" s="24">
        <f t="shared" si="8"/>
        <v>157.71723932828331</v>
      </c>
      <c r="S12" s="25"/>
      <c r="U12" s="30"/>
      <c r="V12" s="27"/>
      <c r="W12" s="32"/>
    </row>
    <row r="13" spans="1:23">
      <c r="A13" s="29">
        <f t="shared" si="2"/>
        <v>2030</v>
      </c>
      <c r="B13" s="23">
        <v>1652.3536082360799</v>
      </c>
      <c r="C13" s="24"/>
      <c r="D13" s="24"/>
      <c r="E13" s="24"/>
      <c r="F13" s="24"/>
      <c r="G13" s="24"/>
      <c r="H13" s="24"/>
      <c r="I13" s="24"/>
      <c r="J13" s="24">
        <f t="shared" ref="J13:R13" si="9">$W$6*(1-$W$7)*$W$8*(1-$W$9)*(16/12)*$W$10*$W$11*$W$17*($B18*$W$18*EXP(-$W$19*(J$5-$A18))*(1-EXP(-$W$19)))</f>
        <v>206.6039767878388</v>
      </c>
      <c r="K13" s="24">
        <f t="shared" si="9"/>
        <v>200.49790648711783</v>
      </c>
      <c r="L13" s="24">
        <f t="shared" si="9"/>
        <v>194.57229783624996</v>
      </c>
      <c r="M13" s="24">
        <f t="shared" si="9"/>
        <v>188.82181738745882</v>
      </c>
      <c r="N13" s="24">
        <f t="shared" si="9"/>
        <v>183.24128932017149</v>
      </c>
      <c r="O13" s="24">
        <f t="shared" si="9"/>
        <v>177.82569078243034</v>
      </c>
      <c r="P13" s="24">
        <f t="shared" si="9"/>
        <v>172.57014736998764</v>
      </c>
      <c r="Q13" s="24">
        <f t="shared" si="9"/>
        <v>167.46992873901235</v>
      </c>
      <c r="R13" s="24">
        <f t="shared" si="9"/>
        <v>162.52044434846147</v>
      </c>
      <c r="S13" s="25"/>
      <c r="U13" s="30"/>
      <c r="V13" s="27"/>
      <c r="W13" s="32"/>
    </row>
    <row r="14" spans="1:23">
      <c r="A14" s="29">
        <f t="shared" si="2"/>
        <v>2031</v>
      </c>
      <c r="B14" s="23">
        <v>1652.3536082360799</v>
      </c>
      <c r="C14" s="24"/>
      <c r="D14" s="24"/>
      <c r="E14" s="24"/>
      <c r="F14" s="24"/>
      <c r="G14" s="24"/>
      <c r="H14" s="24"/>
      <c r="I14" s="24"/>
      <c r="J14" s="24"/>
      <c r="K14" s="24">
        <f t="shared" ref="K14:R14" si="10">$W$6*(1-$W$7)*$W$8*(1-$W$9)*(16/12)*$W$10*$W$11*$W$17*($B19*$W$18*EXP(-$W$19*(K$5-$A19))*(1-EXP(-$W$19)))</f>
        <v>206.6039767878388</v>
      </c>
      <c r="L14" s="24">
        <f t="shared" si="10"/>
        <v>200.49790648711783</v>
      </c>
      <c r="M14" s="24">
        <f t="shared" si="10"/>
        <v>194.57229783624996</v>
      </c>
      <c r="N14" s="24">
        <f t="shared" si="10"/>
        <v>188.82181738745882</v>
      </c>
      <c r="O14" s="24">
        <f t="shared" si="10"/>
        <v>183.24128932017149</v>
      </c>
      <c r="P14" s="24">
        <f t="shared" si="10"/>
        <v>177.82569078243034</v>
      </c>
      <c r="Q14" s="24">
        <f t="shared" si="10"/>
        <v>172.57014736998764</v>
      </c>
      <c r="R14" s="24">
        <f t="shared" si="10"/>
        <v>167.46992873901235</v>
      </c>
      <c r="S14" s="25"/>
      <c r="U14" s="30"/>
      <c r="V14" s="27"/>
      <c r="W14" s="32"/>
    </row>
    <row r="15" spans="1:23">
      <c r="A15" s="29">
        <f t="shared" si="2"/>
        <v>2032</v>
      </c>
      <c r="B15" s="23">
        <v>1652.3536082360799</v>
      </c>
      <c r="C15" s="24"/>
      <c r="D15" s="24"/>
      <c r="E15" s="24"/>
      <c r="F15" s="24"/>
      <c r="G15" s="24"/>
      <c r="H15" s="24"/>
      <c r="I15" s="24"/>
      <c r="J15" s="24"/>
      <c r="K15" s="24"/>
      <c r="L15" s="24">
        <f t="shared" ref="L15:R15" si="11">$W$6*(1-$W$7)*$W$8*(1-$W$9)*(16/12)*$W$10*$W$11*$W$17*($B15*$W$18*EXP(-$W$19*(L$5-$A15))*(1-EXP(-$W$19)))</f>
        <v>177.82569078243048</v>
      </c>
      <c r="M15" s="24">
        <f t="shared" si="11"/>
        <v>172.57014736998775</v>
      </c>
      <c r="N15" s="24">
        <f t="shared" si="11"/>
        <v>167.46992873901249</v>
      </c>
      <c r="O15" s="24">
        <f t="shared" si="11"/>
        <v>162.52044434846161</v>
      </c>
      <c r="P15" s="24">
        <f t="shared" si="11"/>
        <v>157.71723932828345</v>
      </c>
      <c r="Q15" s="24">
        <f t="shared" si="11"/>
        <v>153.05599046973376</v>
      </c>
      <c r="R15" s="24">
        <f t="shared" si="11"/>
        <v>148.53250233419618</v>
      </c>
      <c r="S15" s="25"/>
      <c r="U15" s="30"/>
      <c r="V15" s="27"/>
      <c r="W15" s="32"/>
    </row>
    <row r="16" spans="1:23">
      <c r="A16" s="29">
        <f t="shared" si="2"/>
        <v>2033</v>
      </c>
      <c r="B16" s="23">
        <v>1652.3536082360799</v>
      </c>
      <c r="C16" s="24"/>
      <c r="D16" s="24"/>
      <c r="E16" s="24"/>
      <c r="F16" s="24"/>
      <c r="G16" s="24"/>
      <c r="H16" s="24"/>
      <c r="I16" s="24"/>
      <c r="J16" s="24"/>
      <c r="K16" s="24"/>
      <c r="L16" s="24"/>
      <c r="M16" s="24">
        <f t="shared" ref="M16:R16" si="12">$W$6*(1-$W$7)*$W$8*(1-$W$9)*(16/12)*$W$10*$W$11*$W$17*($B16*$W$18*EXP(-$W$19*(M$5-$A16))*(1-EXP(-$W$19)))</f>
        <v>177.82569078243048</v>
      </c>
      <c r="N16" s="24">
        <f t="shared" si="12"/>
        <v>172.57014736998775</v>
      </c>
      <c r="O16" s="24">
        <f t="shared" si="12"/>
        <v>167.46992873901249</v>
      </c>
      <c r="P16" s="24">
        <f t="shared" si="12"/>
        <v>162.52044434846161</v>
      </c>
      <c r="Q16" s="24">
        <f t="shared" si="12"/>
        <v>157.71723932828345</v>
      </c>
      <c r="R16" s="24">
        <f t="shared" si="12"/>
        <v>153.05599046973376</v>
      </c>
      <c r="S16" s="25"/>
      <c r="U16" s="30"/>
      <c r="V16" s="27"/>
      <c r="W16" s="32"/>
    </row>
    <row r="17" spans="1:23">
      <c r="A17" s="29">
        <f t="shared" si="2"/>
        <v>2034</v>
      </c>
      <c r="B17" s="23">
        <v>1652.3536082360788</v>
      </c>
      <c r="C17" s="24"/>
      <c r="D17" s="24"/>
      <c r="E17" s="24"/>
      <c r="F17" s="24"/>
      <c r="G17" s="24"/>
      <c r="H17" s="24"/>
      <c r="L17" s="24"/>
      <c r="M17" s="24"/>
      <c r="N17" s="24">
        <f>$W$6*(1-$W$7)*$W$8*(1-$W$9)*(16/12)*$W$10*$W$11*$W$17*($B17*$W$18*EXP(-$W$19*(N$5-$A17))*(1-EXP(-$W$19)))</f>
        <v>177.82569078243034</v>
      </c>
      <c r="O17" s="24">
        <f>$W$6*(1-$W$7)*$W$8*(1-$W$9)*(16/12)*$W$10*$W$11*$W$17*($B17*$W$18*EXP(-$W$19*(O$5-$A17))*(1-EXP(-$W$19)))</f>
        <v>172.57014736998764</v>
      </c>
      <c r="P17" s="24">
        <f>$W$6*(1-$W$7)*$W$8*(1-$W$9)*(16/12)*$W$10*$W$11*$W$17*($B17*$W$18*EXP(-$W$19*(P$5-$A17))*(1-EXP(-$W$19)))</f>
        <v>167.46992873901235</v>
      </c>
      <c r="Q17" s="24">
        <f>$W$6*(1-$W$7)*$W$8*(1-$W$9)*(16/12)*$W$10*$W$11*$W$17*($B17*$W$18*EXP(-$W$19*(Q$5-$A17))*(1-EXP(-$W$19)))</f>
        <v>162.52044434846147</v>
      </c>
      <c r="R17" s="24">
        <f>$W$6*(1-$W$7)*$W$8*(1-$W$9)*(16/12)*$W$10*$W$11*$W$17*($B17*$W$18*EXP(-$W$19*(R$5-$A17))*(1-EXP(-$W$19)))</f>
        <v>157.71723932828331</v>
      </c>
      <c r="S17" s="25"/>
      <c r="U17" s="30" t="s">
        <v>26</v>
      </c>
      <c r="V17" s="27" t="s">
        <v>27</v>
      </c>
      <c r="W17" s="32">
        <v>1</v>
      </c>
    </row>
    <row r="18" spans="1:23" ht="18.75">
      <c r="A18" s="29">
        <f t="shared" si="2"/>
        <v>2035</v>
      </c>
      <c r="B18" s="23">
        <v>1652.3536082360788</v>
      </c>
      <c r="C18" s="24"/>
      <c r="D18" s="24"/>
      <c r="E18" s="24"/>
      <c r="F18" s="24"/>
      <c r="G18" s="24"/>
      <c r="H18" s="24"/>
      <c r="L18" s="24"/>
      <c r="M18" s="24"/>
      <c r="N18" s="24"/>
      <c r="O18" s="24">
        <f>$W$6*(1-$W$7)*$W$8*(1-$W$9)*(16/12)*$W$10*$W$11*$W$17*($B18*$W$18*EXP(-$W$19*(O$5-$A18))*(1-EXP(-$W$19)))</f>
        <v>177.82569078243034</v>
      </c>
      <c r="P18" s="24">
        <f>$W$6*(1-$W$7)*$W$8*(1-$W$9)*(16/12)*$W$10*$W$11*$W$17*($B18*$W$18*EXP(-$W$19*(P$5-$A18))*(1-EXP(-$W$19)))</f>
        <v>172.57014736998764</v>
      </c>
      <c r="Q18" s="24">
        <f>$W$6*(1-$W$7)*$W$8*(1-$W$9)*(16/12)*$W$10*$W$11*$W$17*($B18*$W$18*EXP(-$W$19*(Q$5-$A18))*(1-EXP(-$W$19)))</f>
        <v>167.46992873901235</v>
      </c>
      <c r="R18" s="24">
        <f>$W$6*(1-$W$7)*$W$8*(1-$W$9)*(16/12)*$W$10*$W$11*$W$17*($B18*$W$18*EXP(-$W$19*(R$5-$A18))*(1-EXP(-$W$19)))</f>
        <v>162.52044434846147</v>
      </c>
      <c r="S18" s="25"/>
      <c r="U18" s="30" t="s">
        <v>36</v>
      </c>
      <c r="V18" s="27" t="s">
        <v>31</v>
      </c>
      <c r="W18" s="33">
        <v>0.51</v>
      </c>
    </row>
    <row r="19" spans="1:23" ht="18.75">
      <c r="A19" s="29">
        <f t="shared" si="2"/>
        <v>2036</v>
      </c>
      <c r="B19" s="23">
        <v>1652.3536082360788</v>
      </c>
      <c r="C19" s="24"/>
      <c r="D19" s="24"/>
      <c r="E19" s="24"/>
      <c r="F19" s="24"/>
      <c r="G19" s="24"/>
      <c r="H19" s="24"/>
      <c r="L19" s="24"/>
      <c r="M19" s="24"/>
      <c r="N19" s="24"/>
      <c r="O19" s="24"/>
      <c r="P19" s="24">
        <f>$W$6*(1-$W$7)*$W$8*(1-$W$9)*(16/12)*$W$10*$W$11*$W$17*($B19*$W$18*EXP(-$W$19*(P$5-$A19))*(1-EXP(-$W$19)))</f>
        <v>177.82569078243034</v>
      </c>
      <c r="Q19" s="24">
        <f>$W$6*(1-$W$7)*$W$8*(1-$W$9)*(16/12)*$W$10*$W$11*$W$17*($B19*$W$18*EXP(-$W$19*(Q$5-$A19))*(1-EXP(-$W$19)))</f>
        <v>172.57014736998764</v>
      </c>
      <c r="R19" s="24">
        <f>$W$6*(1-$W$7)*$W$8*(1-$W$9)*(16/12)*$W$10*$W$11*$W$17*($B19*$W$18*EXP(-$W$19*(R$5-$A19))*(1-EXP(-$W$19)))</f>
        <v>167.46992873901235</v>
      </c>
      <c r="S19" s="25"/>
      <c r="U19" s="34" t="s">
        <v>37</v>
      </c>
      <c r="V19" s="27" t="s">
        <v>28</v>
      </c>
      <c r="W19" s="35">
        <v>0.03</v>
      </c>
    </row>
    <row r="20" spans="1:23">
      <c r="A20" s="29">
        <f t="shared" si="2"/>
        <v>2037</v>
      </c>
      <c r="B20" s="23">
        <v>1652.3536082360788</v>
      </c>
      <c r="C20" s="24"/>
      <c r="D20" s="24"/>
      <c r="E20" s="24"/>
      <c r="F20" s="24"/>
      <c r="G20" s="24"/>
      <c r="H20" s="24"/>
      <c r="L20" s="24"/>
      <c r="M20" s="24"/>
      <c r="N20" s="24"/>
      <c r="O20" s="24"/>
      <c r="P20" s="24"/>
      <c r="Q20" s="24">
        <f>$W$6*(1-$W$7)*$W$8*(1-$W$9)*(16/12)*$W$10*$W$11*$W$17*($B20*$W$18*EXP(-$W$19*(Q$5-$A20))*(1-EXP(-$W$19)))</f>
        <v>177.82569078243034</v>
      </c>
      <c r="R20" s="24">
        <f>$W$6*(1-$W$7)*$W$8*(1-$W$9)*(16/12)*$W$10*$W$11*$W$17*($B20*$W$18*EXP(-$W$19*(R$5-$A20))*(1-EXP(-$W$19)))</f>
        <v>172.57014736998764</v>
      </c>
      <c r="S20" s="25"/>
      <c r="U20" s="30"/>
      <c r="V20" s="36"/>
      <c r="W20" s="32"/>
    </row>
    <row r="21" spans="1:23">
      <c r="A21" s="29">
        <f t="shared" si="2"/>
        <v>2038</v>
      </c>
      <c r="B21" s="23">
        <v>1652.3536082360788</v>
      </c>
      <c r="C21" s="24"/>
      <c r="D21" s="24"/>
      <c r="E21" s="24"/>
      <c r="F21" s="24"/>
      <c r="G21" s="24"/>
      <c r="H21" s="24"/>
      <c r="L21" s="24"/>
      <c r="M21" s="24"/>
      <c r="N21" s="24"/>
      <c r="O21" s="24"/>
      <c r="P21" s="24"/>
      <c r="Q21" s="24"/>
      <c r="R21" s="24">
        <f>$W$6*(1-$W$7)*$W$8*(1-$W$9)*(16/12)*$W$10*$W$11*$W$17*($B21*$W$18*EXP(-$W$19*(R$5-$A21))*(1-EXP(-$W$19)))</f>
        <v>177.82569078243034</v>
      </c>
      <c r="S21" s="25"/>
    </row>
    <row r="22" spans="1:23" ht="15">
      <c r="A22" s="37" t="s">
        <v>29</v>
      </c>
      <c r="B22" s="38">
        <f>SUM(B6:B21)</f>
        <v>26437.657731777275</v>
      </c>
      <c r="C22" s="24"/>
      <c r="D22" s="24"/>
      <c r="E22" s="24"/>
      <c r="F22" s="24"/>
      <c r="G22" s="24"/>
      <c r="H22" s="24"/>
      <c r="I22" s="24"/>
      <c r="J22" s="24"/>
      <c r="K22" s="24"/>
      <c r="L22" s="24"/>
      <c r="M22" s="24"/>
      <c r="N22" s="24"/>
      <c r="O22" s="24"/>
      <c r="P22" s="24"/>
      <c r="Q22" s="24"/>
      <c r="R22" s="24"/>
      <c r="S22" s="39"/>
    </row>
    <row r="23" spans="1:23" ht="16.5">
      <c r="A23" s="40" t="s">
        <v>38</v>
      </c>
      <c r="B23" s="41"/>
      <c r="C23" s="42">
        <f t="shared" ref="C23:H23" si="13">SUM(C6:C21)</f>
        <v>177.82569078243034</v>
      </c>
      <c r="D23" s="42">
        <f t="shared" si="13"/>
        <v>350.39583815241798</v>
      </c>
      <c r="E23" s="42">
        <f t="shared" si="13"/>
        <v>517.86576689143033</v>
      </c>
      <c r="F23" s="42">
        <f t="shared" si="13"/>
        <v>680.38621123989174</v>
      </c>
      <c r="G23" s="42">
        <f t="shared" si="13"/>
        <v>838.10345056817516</v>
      </c>
      <c r="H23" s="42">
        <f t="shared" si="13"/>
        <v>991.15944103790878</v>
      </c>
      <c r="I23" s="42">
        <f>SUM(I6:I16)</f>
        <v>1168.4702293775133</v>
      </c>
      <c r="J23" s="42">
        <f>SUM(J6:J16)</f>
        <v>1340.5406919716477</v>
      </c>
      <c r="K23" s="42">
        <f>SUM(K6:K16)</f>
        <v>1507.5257038517504</v>
      </c>
      <c r="L23" s="42">
        <f>SUM(L6:L16)</f>
        <v>1640.7972767949327</v>
      </c>
      <c r="M23" s="42">
        <f>SUM(M6:M16)</f>
        <v>1770.1300795066284</v>
      </c>
      <c r="N23" s="42">
        <f>SUM(N6:N22)</f>
        <v>1895.6405202395035</v>
      </c>
      <c r="O23" s="42">
        <f>SUM(O6:O22)</f>
        <v>2017.441566862427</v>
      </c>
      <c r="P23" s="42">
        <f>SUM(P6:P22)</f>
        <v>2135.6428485391766</v>
      </c>
      <c r="Q23" s="42">
        <f>SUM(Q6:Q22)</f>
        <v>2250.3507544020877</v>
      </c>
      <c r="R23" s="42">
        <f>SUM(R6:R22)</f>
        <v>2361.668529309452</v>
      </c>
      <c r="S23" s="43">
        <f>SUM(C23:R23)</f>
        <v>21643.944599527375</v>
      </c>
    </row>
    <row r="24" spans="1:23" ht="18.75">
      <c r="A24" s="40" t="s">
        <v>39</v>
      </c>
      <c r="B24" s="41"/>
      <c r="C24" s="42">
        <f t="shared" ref="C24:R24" si="14">C23/28</f>
        <v>6.3509175279439409</v>
      </c>
      <c r="D24" s="42">
        <f t="shared" si="14"/>
        <v>12.514137076872071</v>
      </c>
      <c r="E24" s="42">
        <f t="shared" si="14"/>
        <v>18.495205960408224</v>
      </c>
      <c r="F24" s="42">
        <f t="shared" si="14"/>
        <v>24.299507544281848</v>
      </c>
      <c r="G24" s="42">
        <f t="shared" si="14"/>
        <v>29.932266091720543</v>
      </c>
      <c r="H24" s="42">
        <f t="shared" si="14"/>
        <v>35.398551465639599</v>
      </c>
      <c r="I24" s="42">
        <f t="shared" si="14"/>
        <v>41.731079620625472</v>
      </c>
      <c r="J24" s="42">
        <f t="shared" si="14"/>
        <v>47.876453284701704</v>
      </c>
      <c r="K24" s="42">
        <f t="shared" si="14"/>
        <v>53.840203708991091</v>
      </c>
      <c r="L24" s="42">
        <f t="shared" si="14"/>
        <v>58.599902742676171</v>
      </c>
      <c r="M24" s="42">
        <f t="shared" si="14"/>
        <v>63.218931410951015</v>
      </c>
      <c r="N24" s="42">
        <f t="shared" si="14"/>
        <v>67.701447151410846</v>
      </c>
      <c r="O24" s="42">
        <f t="shared" si="14"/>
        <v>72.051484530800963</v>
      </c>
      <c r="P24" s="42">
        <f t="shared" si="14"/>
        <v>76.272958876399159</v>
      </c>
      <c r="Q24" s="42">
        <f t="shared" si="14"/>
        <v>80.369669800074561</v>
      </c>
      <c r="R24" s="42">
        <f t="shared" si="14"/>
        <v>84.345304618194717</v>
      </c>
      <c r="S24" s="43">
        <f>SUM(C24:R24)</f>
        <v>772.99802141169198</v>
      </c>
    </row>
    <row r="25" spans="1:23">
      <c r="C25" s="18">
        <f t="shared" ref="C25:R25" si="15">C23+C24</f>
        <v>184.17660831037429</v>
      </c>
      <c r="D25" s="18">
        <f t="shared" si="15"/>
        <v>362.90997522929007</v>
      </c>
      <c r="E25" s="18">
        <f t="shared" si="15"/>
        <v>536.3609728518386</v>
      </c>
      <c r="F25" s="18">
        <f t="shared" si="15"/>
        <v>704.68571878417356</v>
      </c>
      <c r="G25" s="18">
        <f t="shared" si="15"/>
        <v>868.03571665989568</v>
      </c>
      <c r="H25" s="18">
        <f t="shared" si="15"/>
        <v>1026.5579925035483</v>
      </c>
      <c r="I25" s="18">
        <f t="shared" si="15"/>
        <v>1210.2013089981388</v>
      </c>
      <c r="J25" s="18">
        <f t="shared" si="15"/>
        <v>1388.4171452563494</v>
      </c>
      <c r="K25" s="18">
        <f t="shared" si="15"/>
        <v>1561.3659075607416</v>
      </c>
      <c r="L25" s="18">
        <f t="shared" si="15"/>
        <v>1699.397179537609</v>
      </c>
      <c r="M25" s="18">
        <f t="shared" si="15"/>
        <v>1833.3490109175793</v>
      </c>
      <c r="N25" s="18">
        <f t="shared" si="15"/>
        <v>1963.3419673909143</v>
      </c>
      <c r="O25" s="18">
        <f t="shared" si="15"/>
        <v>2089.4930513932277</v>
      </c>
      <c r="P25" s="18">
        <f t="shared" si="15"/>
        <v>2211.9158074155757</v>
      </c>
      <c r="Q25" s="18">
        <f t="shared" si="15"/>
        <v>2330.7204242021621</v>
      </c>
      <c r="R25" s="18">
        <f t="shared" si="15"/>
        <v>2446.0138339276468</v>
      </c>
      <c r="S25" s="18">
        <f>SUM(C25:R25)</f>
        <v>22416.942620939062</v>
      </c>
    </row>
    <row r="26" spans="1:23">
      <c r="B26" s="12"/>
    </row>
    <row r="28" spans="1:23">
      <c r="B28" s="12"/>
    </row>
    <row r="29" spans="1:23">
      <c r="B29" s="12"/>
    </row>
  </sheetData>
  <pageMargins left="0.7" right="0.7" top="0.75" bottom="0.75" header="0.3" footer="0.3"/>
  <drawing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8EDB8F-C667-40E0-87BC-09B5A01558E7}">
  <dimension ref="A1:J33"/>
  <sheetViews>
    <sheetView zoomScale="140" zoomScaleNormal="140" workbookViewId="0">
      <selection activeCell="B10" sqref="B10"/>
    </sheetView>
  </sheetViews>
  <sheetFormatPr defaultColWidth="8.875" defaultRowHeight="14.25"/>
  <cols>
    <col min="1" max="1" width="31.375" customWidth="1"/>
    <col min="2" max="2" width="14.875" customWidth="1"/>
    <col min="4" max="4" width="28" customWidth="1"/>
    <col min="9" max="9" width="39" customWidth="1"/>
    <col min="10" max="10" width="26" customWidth="1"/>
  </cols>
  <sheetData>
    <row r="1" spans="1:10">
      <c r="A1" s="12" t="s">
        <v>32</v>
      </c>
      <c r="B1" s="13"/>
      <c r="C1" s="12"/>
      <c r="I1" s="1" t="s">
        <v>110</v>
      </c>
      <c r="J1" s="48" t="s">
        <v>111</v>
      </c>
    </row>
    <row r="2" spans="1:10" ht="28.5">
      <c r="A2" s="12"/>
      <c r="B2" s="13"/>
      <c r="C2" s="12"/>
      <c r="I2" s="1" t="s">
        <v>112</v>
      </c>
      <c r="J2" s="48">
        <v>0.14000000000000001</v>
      </c>
    </row>
    <row r="3" spans="1:10" ht="18.75">
      <c r="A3" s="44" t="s">
        <v>33</v>
      </c>
      <c r="B3" s="52"/>
      <c r="D3" s="44" t="s">
        <v>47</v>
      </c>
      <c r="E3" s="52"/>
      <c r="I3" s="48" t="s">
        <v>113</v>
      </c>
      <c r="J3" s="48">
        <v>3.3</v>
      </c>
    </row>
    <row r="4" spans="1:10">
      <c r="A4" s="45" t="s">
        <v>40</v>
      </c>
      <c r="B4" s="53">
        <v>23.275145469659186</v>
      </c>
      <c r="D4" s="45" t="s">
        <v>40</v>
      </c>
      <c r="E4" s="46">
        <v>850</v>
      </c>
      <c r="I4" s="48" t="s">
        <v>114</v>
      </c>
      <c r="J4" s="48">
        <f>J3*J2</f>
        <v>0.46200000000000002</v>
      </c>
    </row>
    <row r="5" spans="1:10" ht="16.5">
      <c r="A5" s="45" t="s">
        <v>41</v>
      </c>
      <c r="B5" s="53">
        <v>59.850374064837908</v>
      </c>
      <c r="D5" s="45" t="s">
        <v>41</v>
      </c>
      <c r="E5" s="46">
        <v>0.01</v>
      </c>
      <c r="I5" s="48" t="s">
        <v>115</v>
      </c>
      <c r="J5" s="49">
        <f>'Производство арболита (пр)'!J5</f>
        <v>14825.757575757578</v>
      </c>
    </row>
    <row r="6" spans="1:10" ht="16.5">
      <c r="A6" s="45" t="s">
        <v>42</v>
      </c>
      <c r="B6" s="53">
        <v>8.3125519534497094E-2</v>
      </c>
      <c r="D6" s="45" t="s">
        <v>42</v>
      </c>
      <c r="E6" s="46">
        <v>9000</v>
      </c>
      <c r="I6" s="84" t="s">
        <v>116</v>
      </c>
      <c r="J6" s="47">
        <f>J5*J4</f>
        <v>6849.5000000000009</v>
      </c>
    </row>
    <row r="7" spans="1:10">
      <c r="A7" s="45" t="s">
        <v>43</v>
      </c>
      <c r="B7" s="53">
        <v>0.99750623441396502</v>
      </c>
      <c r="D7" s="45" t="s">
        <v>43</v>
      </c>
      <c r="E7" s="46">
        <v>0.09</v>
      </c>
    </row>
    <row r="8" spans="1:10">
      <c r="A8" s="45" t="s">
        <v>44</v>
      </c>
      <c r="B8" s="53">
        <v>15.793848711554448</v>
      </c>
      <c r="D8" s="45" t="s">
        <v>44</v>
      </c>
      <c r="E8" s="46">
        <v>800</v>
      </c>
    </row>
    <row r="9" spans="1:10">
      <c r="A9" s="13"/>
      <c r="B9" s="12"/>
    </row>
    <row r="10" spans="1:10" ht="30.75">
      <c r="A10" s="45" t="s">
        <v>45</v>
      </c>
      <c r="B10" s="85">
        <f>J6</f>
        <v>6849.5000000000009</v>
      </c>
    </row>
    <row r="11" spans="1:10" ht="16.5">
      <c r="A11" s="45" t="s">
        <v>46</v>
      </c>
      <c r="B11" s="46">
        <v>600</v>
      </c>
    </row>
    <row r="12" spans="1:10" ht="28.5">
      <c r="A12" s="45" t="s">
        <v>49</v>
      </c>
      <c r="B12" s="46">
        <f>B10*B11/1000</f>
        <v>4109.7000000000007</v>
      </c>
    </row>
    <row r="14" spans="1:10" ht="18.75">
      <c r="A14" s="50" t="s">
        <v>48</v>
      </c>
      <c r="B14" s="51"/>
      <c r="D14" s="50" t="s">
        <v>58</v>
      </c>
      <c r="E14" s="51"/>
    </row>
    <row r="15" spans="1:10">
      <c r="A15" s="45" t="s">
        <v>40</v>
      </c>
      <c r="B15" s="49">
        <f>$B$12*B4/100</f>
        <v>956.53865336658373</v>
      </c>
      <c r="D15" s="45" t="s">
        <v>40</v>
      </c>
      <c r="E15" s="55">
        <f>B15*E4*0.001</f>
        <v>813.05785536159624</v>
      </c>
    </row>
    <row r="16" spans="1:10">
      <c r="A16" s="45" t="s">
        <v>41</v>
      </c>
      <c r="B16" s="49">
        <f>$B$12*B5/100</f>
        <v>2459.670822942644</v>
      </c>
      <c r="D16" s="45" t="s">
        <v>41</v>
      </c>
      <c r="E16" s="55">
        <f>B16*E5*0.001</f>
        <v>2.4596708229426441E-2</v>
      </c>
    </row>
    <row r="17" spans="1:5">
      <c r="A17" s="45" t="s">
        <v>42</v>
      </c>
      <c r="B17" s="49">
        <f>$B$12*B6/100</f>
        <v>3.4162094763092279</v>
      </c>
      <c r="D17" s="45" t="s">
        <v>42</v>
      </c>
      <c r="E17" s="55">
        <f>B17*E6*0.001</f>
        <v>30.74588528678305</v>
      </c>
    </row>
    <row r="18" spans="1:5">
      <c r="A18" s="45" t="s">
        <v>43</v>
      </c>
      <c r="B18" s="49">
        <f>$B$12*B7/100</f>
        <v>40.994513715710724</v>
      </c>
      <c r="D18" s="45" t="s">
        <v>43</v>
      </c>
      <c r="E18" s="55">
        <f>B18*E7*0.001</f>
        <v>3.6895062344139648E-3</v>
      </c>
    </row>
    <row r="19" spans="1:5">
      <c r="A19" s="45" t="s">
        <v>44</v>
      </c>
      <c r="B19" s="49">
        <f>$B$12*B8/100</f>
        <v>649.07980049875323</v>
      </c>
      <c r="D19" s="45" t="s">
        <v>44</v>
      </c>
      <c r="E19" s="55">
        <f>B19*E8*0.001</f>
        <v>519.26384039900256</v>
      </c>
    </row>
    <row r="21" spans="1:5">
      <c r="A21" s="51" t="s">
        <v>50</v>
      </c>
      <c r="B21" s="51"/>
    </row>
    <row r="22" spans="1:5">
      <c r="A22" s="1" t="s">
        <v>52</v>
      </c>
      <c r="B22" s="48">
        <v>200</v>
      </c>
    </row>
    <row r="23" spans="1:5" ht="66">
      <c r="A23" s="54" t="s">
        <v>51</v>
      </c>
      <c r="B23" s="48">
        <v>0.245</v>
      </c>
    </row>
    <row r="24" spans="1:5" ht="33">
      <c r="A24" s="1" t="s">
        <v>59</v>
      </c>
      <c r="B24" s="56">
        <f>B23*B22*B12*0.001</f>
        <v>201.37530000000004</v>
      </c>
    </row>
    <row r="26" spans="1:5">
      <c r="A26" s="51" t="s">
        <v>53</v>
      </c>
      <c r="B26" s="51"/>
    </row>
    <row r="27" spans="1:5" ht="45">
      <c r="A27" s="10" t="s">
        <v>63</v>
      </c>
      <c r="B27" s="48">
        <v>210</v>
      </c>
    </row>
    <row r="28" spans="1:5">
      <c r="A28" s="48" t="s">
        <v>56</v>
      </c>
      <c r="B28" s="49">
        <f>B27*0.001*B10</f>
        <v>1438.3950000000002</v>
      </c>
    </row>
    <row r="29" spans="1:5" ht="47.25">
      <c r="A29" s="1" t="s">
        <v>57</v>
      </c>
      <c r="B29" s="48">
        <v>0.45</v>
      </c>
    </row>
    <row r="30" spans="1:5" ht="33">
      <c r="A30" s="1" t="s">
        <v>60</v>
      </c>
      <c r="B30" s="56">
        <f>B29*B28</f>
        <v>647.27775000000008</v>
      </c>
    </row>
    <row r="32" spans="1:5" ht="47.25">
      <c r="A32" s="1" t="s">
        <v>61</v>
      </c>
      <c r="B32" s="55">
        <f>SUM(E15:E19,B24,B30)</f>
        <v>2211.7489172618461</v>
      </c>
    </row>
    <row r="33" spans="1:2" ht="33">
      <c r="A33" s="1" t="s">
        <v>62</v>
      </c>
      <c r="B33" s="49">
        <f>B32*1000/B10</f>
        <v>322.90662344139662</v>
      </c>
    </row>
  </sheetData>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A2FD6-D492-442A-8771-4871A9D7F10C}">
  <dimension ref="A1:J48"/>
  <sheetViews>
    <sheetView topLeftCell="A34" zoomScale="140" zoomScaleNormal="140" workbookViewId="0">
      <selection activeCell="E48" sqref="E48"/>
    </sheetView>
  </sheetViews>
  <sheetFormatPr defaultColWidth="8.875" defaultRowHeight="14.25"/>
  <cols>
    <col min="1" max="1" width="31.375" customWidth="1"/>
    <col min="2" max="2" width="10" bestFit="1" customWidth="1"/>
    <col min="4" max="4" width="28" customWidth="1"/>
    <col min="9" max="9" width="41.375" customWidth="1"/>
    <col min="10" max="10" width="10.125" bestFit="1" customWidth="1"/>
  </cols>
  <sheetData>
    <row r="1" spans="1:10">
      <c r="A1" s="12" t="s">
        <v>67</v>
      </c>
      <c r="B1" s="13"/>
      <c r="C1" s="12"/>
      <c r="I1" s="1" t="s">
        <v>110</v>
      </c>
      <c r="J1" s="48" t="s">
        <v>111</v>
      </c>
    </row>
    <row r="2" spans="1:10" ht="28.5">
      <c r="A2" s="12"/>
      <c r="B2" s="13"/>
      <c r="C2" s="12"/>
      <c r="I2" s="1" t="s">
        <v>112</v>
      </c>
      <c r="J2" s="48">
        <v>0.12</v>
      </c>
    </row>
    <row r="3" spans="1:10" ht="18.75">
      <c r="A3" s="44" t="s">
        <v>33</v>
      </c>
      <c r="B3" s="52"/>
      <c r="D3" s="44" t="s">
        <v>47</v>
      </c>
      <c r="E3" s="52"/>
      <c r="I3" s="48" t="s">
        <v>113</v>
      </c>
      <c r="J3" s="48">
        <v>3.3</v>
      </c>
    </row>
    <row r="4" spans="1:10">
      <c r="A4" s="45" t="s">
        <v>40</v>
      </c>
      <c r="B4" s="53">
        <v>51.546391757944519</v>
      </c>
      <c r="D4" s="45" t="s">
        <v>40</v>
      </c>
      <c r="E4" s="46">
        <v>850</v>
      </c>
      <c r="I4" s="48" t="s">
        <v>114</v>
      </c>
      <c r="J4" s="48">
        <f>J3*J2</f>
        <v>0.39599999999999996</v>
      </c>
    </row>
    <row r="5" spans="1:10" ht="16.5">
      <c r="A5" s="45" t="s">
        <v>64</v>
      </c>
      <c r="B5" s="53">
        <v>46.907216494523333</v>
      </c>
      <c r="D5" s="45" t="s">
        <v>64</v>
      </c>
      <c r="E5" s="46">
        <v>0</v>
      </c>
      <c r="I5" s="48" t="s">
        <v>115</v>
      </c>
      <c r="J5" s="49">
        <f>B8/J4</f>
        <v>14825.757575757578</v>
      </c>
    </row>
    <row r="6" spans="1:10">
      <c r="A6" s="45" t="s">
        <v>65</v>
      </c>
      <c r="B6" s="53">
        <v>1.5463917527383357</v>
      </c>
      <c r="D6" s="45" t="s">
        <v>65</v>
      </c>
      <c r="E6" s="46">
        <v>526</v>
      </c>
      <c r="J6">
        <f>J5*J4</f>
        <v>5871</v>
      </c>
    </row>
    <row r="7" spans="1:10">
      <c r="A7" s="13"/>
      <c r="B7" s="12"/>
    </row>
    <row r="8" spans="1:10" ht="30.75">
      <c r="A8" s="45" t="s">
        <v>45</v>
      </c>
      <c r="B8" s="46">
        <v>5871</v>
      </c>
    </row>
    <row r="9" spans="1:10" ht="16.5">
      <c r="A9" s="45" t="s">
        <v>46</v>
      </c>
      <c r="B9" s="46">
        <v>600</v>
      </c>
    </row>
    <row r="10" spans="1:10" ht="28.5">
      <c r="A10" s="45" t="s">
        <v>49</v>
      </c>
      <c r="B10" s="46">
        <f>B8*B9/1000</f>
        <v>3522.6</v>
      </c>
    </row>
    <row r="12" spans="1:10" ht="30.75">
      <c r="A12" s="50" t="s">
        <v>103</v>
      </c>
      <c r="B12" s="51"/>
      <c r="D12" s="50" t="s">
        <v>58</v>
      </c>
      <c r="E12" s="51"/>
    </row>
    <row r="13" spans="1:10">
      <c r="A13" s="45" t="s">
        <v>40</v>
      </c>
      <c r="B13" s="49">
        <f>$B$10*B4/100</f>
        <v>1815.7731960653537</v>
      </c>
      <c r="D13" s="45" t="s">
        <v>40</v>
      </c>
      <c r="E13" s="55">
        <f>B13*E4*0.001</f>
        <v>1543.4072166555507</v>
      </c>
    </row>
    <row r="14" spans="1:10">
      <c r="A14" s="45" t="s">
        <v>64</v>
      </c>
      <c r="B14" s="49">
        <f>$B$10*B5/100</f>
        <v>1652.3536082360788</v>
      </c>
      <c r="D14" s="45" t="s">
        <v>64</v>
      </c>
      <c r="E14" s="55">
        <f>B14*E5*0.001</f>
        <v>0</v>
      </c>
    </row>
    <row r="15" spans="1:10">
      <c r="A15" s="45" t="s">
        <v>65</v>
      </c>
      <c r="B15" s="49">
        <f>$B$10*B6/100</f>
        <v>54.473195881960606</v>
      </c>
      <c r="D15" s="45" t="s">
        <v>65</v>
      </c>
      <c r="E15" s="55">
        <f>B15*E6*0.001</f>
        <v>28.652901033911281</v>
      </c>
    </row>
    <row r="17" spans="1:2">
      <c r="A17" s="51" t="s">
        <v>50</v>
      </c>
      <c r="B17" s="51"/>
    </row>
    <row r="18" spans="1:2">
      <c r="A18" s="1" t="s">
        <v>52</v>
      </c>
      <c r="B18" s="48">
        <v>200</v>
      </c>
    </row>
    <row r="19" spans="1:2" ht="66">
      <c r="A19" s="54" t="s">
        <v>51</v>
      </c>
      <c r="B19" s="48">
        <v>0.245</v>
      </c>
    </row>
    <row r="20" spans="1:2" ht="33">
      <c r="A20" s="1" t="s">
        <v>59</v>
      </c>
      <c r="B20" s="56">
        <f>B19*B18*B10*0.001</f>
        <v>172.60739999999998</v>
      </c>
    </row>
    <row r="22" spans="1:2">
      <c r="A22" s="51" t="s">
        <v>53</v>
      </c>
      <c r="B22" s="51"/>
    </row>
    <row r="23" spans="1:2" ht="28.5">
      <c r="A23" s="10" t="s">
        <v>66</v>
      </c>
      <c r="B23" s="57">
        <v>118.3</v>
      </c>
    </row>
    <row r="24" spans="1:2">
      <c r="A24" s="48" t="s">
        <v>55</v>
      </c>
      <c r="B24" s="48">
        <v>8</v>
      </c>
    </row>
    <row r="25" spans="1:2">
      <c r="A25" s="48" t="s">
        <v>54</v>
      </c>
      <c r="B25" s="48">
        <v>246</v>
      </c>
    </row>
    <row r="26" spans="1:2">
      <c r="A26" s="48" t="s">
        <v>56</v>
      </c>
      <c r="B26" s="49">
        <f>B23*B24*B25*0.001</f>
        <v>232.81440000000001</v>
      </c>
    </row>
    <row r="27" spans="1:2" ht="47.25">
      <c r="A27" s="1" t="s">
        <v>57</v>
      </c>
      <c r="B27" s="48">
        <v>0.45</v>
      </c>
    </row>
    <row r="28" spans="1:2" ht="33">
      <c r="A28" s="1" t="s">
        <v>60</v>
      </c>
      <c r="B28" s="56">
        <f>B27*B26</f>
        <v>104.76648</v>
      </c>
    </row>
    <row r="30" spans="1:2" ht="47.25">
      <c r="A30" s="1" t="s">
        <v>61</v>
      </c>
      <c r="B30" s="55">
        <f>SUM(E13:E15,B20,B28)</f>
        <v>1849.4339976894619</v>
      </c>
    </row>
    <row r="31" spans="1:2" ht="33">
      <c r="A31" s="1" t="s">
        <v>62</v>
      </c>
      <c r="B31" s="49">
        <f>B30*1000/B8</f>
        <v>315.01175228912655</v>
      </c>
    </row>
    <row r="45" spans="4:5">
      <c r="D45">
        <v>3.2000000000000001E-2</v>
      </c>
      <c r="E45">
        <v>0.14399999999999999</v>
      </c>
    </row>
    <row r="46" spans="4:5">
      <c r="D46">
        <v>3.7</v>
      </c>
      <c r="E46">
        <v>4.7E-2</v>
      </c>
    </row>
    <row r="47" spans="4:5">
      <c r="D47">
        <f>AVERAGE(D45:D46)</f>
        <v>1.8660000000000001</v>
      </c>
    </row>
    <row r="48" spans="4:5">
      <c r="D48" s="88">
        <f>LN(2)/D46</f>
        <v>0.18733707582701223</v>
      </c>
      <c r="E48" s="88">
        <f>LN(2)/E45</f>
        <v>4.8135220872218429</v>
      </c>
    </row>
  </sheetData>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12</vt:i4>
      </vt:variant>
      <vt:variant>
        <vt:lpstr>Именованные диапазоны</vt:lpstr>
      </vt:variant>
      <vt:variant>
        <vt:i4>3</vt:i4>
      </vt:variant>
    </vt:vector>
  </HeadingPairs>
  <TitlesOfParts>
    <vt:vector size="15" baseType="lpstr">
      <vt:lpstr>Результат климатического проект</vt:lpstr>
      <vt:lpstr>Мульчирование и сжигание (баз)</vt:lpstr>
      <vt:lpstr>BE_chippedwood,y</vt:lpstr>
      <vt:lpstr>PE_chippedwood,y</vt:lpstr>
      <vt:lpstr>ФЕ</vt:lpstr>
      <vt:lpstr>BE_materials</vt:lpstr>
      <vt:lpstr>PE_materials</vt:lpstr>
      <vt:lpstr>Результат</vt:lpstr>
      <vt:lpstr>Табл. З.1. ПТД</vt:lpstr>
      <vt:lpstr>Захоронение в полигоне (баз)</vt:lpstr>
      <vt:lpstr>Производство газобетона (баз)</vt:lpstr>
      <vt:lpstr>Производство арболита (пр)</vt:lpstr>
      <vt:lpstr>BE_materials!_ftn1</vt:lpstr>
      <vt:lpstr>BE_materials!_ftnref1</vt:lpstr>
      <vt:lpstr>BE_materials!_Ref221815476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Stepan Zainulin</dc:creator>
  <cp:lastModifiedBy>Бадретдинов Марат Айратович</cp:lastModifiedBy>
  <dcterms:created xsi:type="dcterms:W3CDTF">2025-09-16T11:04:31Z</dcterms:created>
  <dcterms:modified xsi:type="dcterms:W3CDTF">2026-06-24T13:39:50Z</dcterms:modified>
</cp:coreProperties>
</file>